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0" windowWidth="20490" windowHeight="7755" tabRatio="553"/>
  </bookViews>
  <sheets>
    <sheet name="RESUMEN" sheetId="1" r:id="rId1"/>
    <sheet name="PDM" sheetId="10" r:id="rId2"/>
    <sheet name="FORTAMUNDF" sheetId="9" r:id="rId3"/>
    <sheet name="FORTASEG" sheetId="13" r:id="rId4"/>
    <sheet name="FISMDF" sheetId="14" r:id="rId5"/>
  </sheets>
  <definedNames>
    <definedName name="_xlnm._FilterDatabase" localSheetId="1" hidden="1">PDM!$A$10:$W$79</definedName>
    <definedName name="_xlnm.Print_Area" localSheetId="4">FISMDF!$A$1:$U$136</definedName>
    <definedName name="_xlnm.Print_Area" localSheetId="2">FORTAMUNDF!$A$1:$U$20</definedName>
    <definedName name="_xlnm.Print_Area" localSheetId="3">FORTASEG!$A$1:$U$23</definedName>
    <definedName name="_xlnm.Print_Area" localSheetId="1">PDM!$A$1:$U$86</definedName>
    <definedName name="_xlnm.Print_Area" localSheetId="0">RESUMEN!$A$3:$AA$43</definedName>
    <definedName name="_xlnm.Print_Titles" localSheetId="4">FISMDF!$15:$15</definedName>
    <definedName name="_xlnm.Print_Titles" localSheetId="1">PDM!$10:$10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Z17" i="1" l="1"/>
  <c r="AA17" i="1"/>
  <c r="Z18" i="1"/>
  <c r="AA18" i="1"/>
  <c r="Z19" i="1"/>
  <c r="AA19" i="1" s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AA16" i="1"/>
  <c r="Z16" i="1"/>
  <c r="Z15" i="1"/>
  <c r="Y21" i="1"/>
  <c r="Y28" i="1" s="1"/>
  <c r="S19" i="1" l="1"/>
  <c r="J134" i="14" l="1"/>
  <c r="H134" i="14"/>
  <c r="N132" i="14"/>
  <c r="L132" i="14"/>
  <c r="K132" i="14"/>
  <c r="N131" i="14"/>
  <c r="L131" i="14"/>
  <c r="K131" i="14"/>
  <c r="N130" i="14"/>
  <c r="L130" i="14"/>
  <c r="K130" i="14"/>
  <c r="N129" i="14"/>
  <c r="L129" i="14"/>
  <c r="K129" i="14"/>
  <c r="N128" i="14"/>
  <c r="L128" i="14"/>
  <c r="K128" i="14"/>
  <c r="I127" i="14"/>
  <c r="L127" i="14" s="1"/>
  <c r="N126" i="14"/>
  <c r="L126" i="14"/>
  <c r="K126" i="14"/>
  <c r="N125" i="14"/>
  <c r="L125" i="14"/>
  <c r="K125" i="14"/>
  <c r="N124" i="14"/>
  <c r="L124" i="14"/>
  <c r="K124" i="14"/>
  <c r="I123" i="14"/>
  <c r="N123" i="14" s="1"/>
  <c r="I122" i="14"/>
  <c r="N122" i="14" s="1"/>
  <c r="N121" i="14"/>
  <c r="K121" i="14"/>
  <c r="I121" i="14"/>
  <c r="I120" i="14"/>
  <c r="K120" i="14" s="1"/>
  <c r="I119" i="14"/>
  <c r="N119" i="14" s="1"/>
  <c r="I118" i="14"/>
  <c r="N118" i="14" s="1"/>
  <c r="K117" i="14"/>
  <c r="I117" i="14"/>
  <c r="N117" i="14" s="1"/>
  <c r="I116" i="14"/>
  <c r="K116" i="14" s="1"/>
  <c r="I115" i="14"/>
  <c r="N115" i="14" s="1"/>
  <c r="I114" i="14"/>
  <c r="N114" i="14" s="1"/>
  <c r="I113" i="14"/>
  <c r="N113" i="14" s="1"/>
  <c r="I112" i="14"/>
  <c r="K112" i="14" s="1"/>
  <c r="K111" i="14"/>
  <c r="I111" i="14"/>
  <c r="N111" i="14" s="1"/>
  <c r="I110" i="14"/>
  <c r="N110" i="14" s="1"/>
  <c r="I109" i="14"/>
  <c r="N109" i="14" s="1"/>
  <c r="N108" i="14"/>
  <c r="I108" i="14"/>
  <c r="K108" i="14" s="1"/>
  <c r="I107" i="14"/>
  <c r="N107" i="14" s="1"/>
  <c r="I106" i="14"/>
  <c r="N106" i="14" s="1"/>
  <c r="I105" i="14"/>
  <c r="N105" i="14" s="1"/>
  <c r="I104" i="14"/>
  <c r="K104" i="14" s="1"/>
  <c r="I103" i="14"/>
  <c r="N103" i="14" s="1"/>
  <c r="N102" i="14"/>
  <c r="K102" i="14"/>
  <c r="N101" i="14"/>
  <c r="K101" i="14"/>
  <c r="N100" i="14"/>
  <c r="K100" i="14"/>
  <c r="N99" i="14"/>
  <c r="K99" i="14"/>
  <c r="I98" i="14"/>
  <c r="N98" i="14" s="1"/>
  <c r="I97" i="14"/>
  <c r="N97" i="14" s="1"/>
  <c r="N96" i="14"/>
  <c r="K96" i="14"/>
  <c r="I95" i="14"/>
  <c r="N95" i="14" s="1"/>
  <c r="I94" i="14"/>
  <c r="N94" i="14" s="1"/>
  <c r="N93" i="14"/>
  <c r="K93" i="14"/>
  <c r="N92" i="14"/>
  <c r="K92" i="14"/>
  <c r="N91" i="14"/>
  <c r="K91" i="14"/>
  <c r="N90" i="14"/>
  <c r="K90" i="14"/>
  <c r="N89" i="14"/>
  <c r="K89" i="14"/>
  <c r="N88" i="14"/>
  <c r="K88" i="14"/>
  <c r="N87" i="14"/>
  <c r="K87" i="14"/>
  <c r="I86" i="14"/>
  <c r="N86" i="14" s="1"/>
  <c r="K85" i="14"/>
  <c r="I85" i="14"/>
  <c r="N85" i="14" s="1"/>
  <c r="I84" i="14"/>
  <c r="K84" i="14" s="1"/>
  <c r="N83" i="14"/>
  <c r="K83" i="14"/>
  <c r="K82" i="14"/>
  <c r="I82" i="14"/>
  <c r="N82" i="14" s="1"/>
  <c r="I81" i="14"/>
  <c r="K81" i="14" s="1"/>
  <c r="I80" i="14"/>
  <c r="N80" i="14" s="1"/>
  <c r="I79" i="14"/>
  <c r="N79" i="14" s="1"/>
  <c r="K78" i="14"/>
  <c r="I78" i="14"/>
  <c r="N78" i="14" s="1"/>
  <c r="I77" i="14"/>
  <c r="K77" i="14" s="1"/>
  <c r="K76" i="14"/>
  <c r="I76" i="14"/>
  <c r="N76" i="14" s="1"/>
  <c r="I75" i="14"/>
  <c r="N75" i="14" s="1"/>
  <c r="I74" i="14"/>
  <c r="N74" i="14" s="1"/>
  <c r="I73" i="14"/>
  <c r="K73" i="14" s="1"/>
  <c r="N72" i="14"/>
  <c r="K72" i="14"/>
  <c r="I71" i="14"/>
  <c r="N71" i="14" s="1"/>
  <c r="I70" i="14"/>
  <c r="K70" i="14" s="1"/>
  <c r="I69" i="14"/>
  <c r="N69" i="14" s="1"/>
  <c r="N68" i="14"/>
  <c r="K68" i="14"/>
  <c r="I67" i="14"/>
  <c r="K67" i="14" s="1"/>
  <c r="N66" i="14"/>
  <c r="K66" i="14"/>
  <c r="I65" i="14"/>
  <c r="N65" i="14" s="1"/>
  <c r="N64" i="14"/>
  <c r="K64" i="14"/>
  <c r="N63" i="14"/>
  <c r="K63" i="14"/>
  <c r="I62" i="14"/>
  <c r="K62" i="14" s="1"/>
  <c r="I61" i="14"/>
  <c r="N61" i="14" s="1"/>
  <c r="I60" i="14"/>
  <c r="N60" i="14" s="1"/>
  <c r="K59" i="14"/>
  <c r="I59" i="14"/>
  <c r="N59" i="14" s="1"/>
  <c r="I58" i="14"/>
  <c r="K58" i="14" s="1"/>
  <c r="K57" i="14"/>
  <c r="I57" i="14"/>
  <c r="N57" i="14" s="1"/>
  <c r="I56" i="14"/>
  <c r="N56" i="14" s="1"/>
  <c r="I55" i="14"/>
  <c r="N55" i="14" s="1"/>
  <c r="N54" i="14"/>
  <c r="K54" i="14"/>
  <c r="N53" i="14"/>
  <c r="K53" i="14"/>
  <c r="N52" i="14"/>
  <c r="K52" i="14"/>
  <c r="I51" i="14"/>
  <c r="N51" i="14" s="1"/>
  <c r="K50" i="14"/>
  <c r="I50" i="14"/>
  <c r="N50" i="14" s="1"/>
  <c r="I49" i="14"/>
  <c r="K49" i="14" s="1"/>
  <c r="I48" i="14"/>
  <c r="N48" i="14" s="1"/>
  <c r="N47" i="14"/>
  <c r="K47" i="14"/>
  <c r="I46" i="14"/>
  <c r="K46" i="14" s="1"/>
  <c r="I45" i="14"/>
  <c r="N45" i="14" s="1"/>
  <c r="I44" i="14"/>
  <c r="N44" i="14" s="1"/>
  <c r="N43" i="14"/>
  <c r="K43" i="14"/>
  <c r="I42" i="14"/>
  <c r="N42" i="14" s="1"/>
  <c r="I41" i="14"/>
  <c r="N41" i="14" s="1"/>
  <c r="I40" i="14"/>
  <c r="N40" i="14" s="1"/>
  <c r="I39" i="14"/>
  <c r="K39" i="14" s="1"/>
  <c r="N38" i="14"/>
  <c r="K38" i="14"/>
  <c r="N37" i="14"/>
  <c r="K37" i="14"/>
  <c r="I36" i="14"/>
  <c r="N36" i="14" s="1"/>
  <c r="I35" i="14"/>
  <c r="N35" i="14" s="1"/>
  <c r="I34" i="14"/>
  <c r="N34" i="14" s="1"/>
  <c r="N33" i="14"/>
  <c r="I33" i="14"/>
  <c r="L33" i="14" s="1"/>
  <c r="I32" i="14"/>
  <c r="K32" i="14" s="1"/>
  <c r="N31" i="14"/>
  <c r="K31" i="14"/>
  <c r="N30" i="14"/>
  <c r="K30" i="14"/>
  <c r="N29" i="14"/>
  <c r="K29" i="14"/>
  <c r="N28" i="14"/>
  <c r="K28" i="14"/>
  <c r="N27" i="14"/>
  <c r="K27" i="14"/>
  <c r="I26" i="14"/>
  <c r="N26" i="14" s="1"/>
  <c r="I25" i="14"/>
  <c r="L25" i="14" s="1"/>
  <c r="G25" i="14"/>
  <c r="K25" i="14" s="1"/>
  <c r="I24" i="14"/>
  <c r="G24" i="14"/>
  <c r="G134" i="14" s="1"/>
  <c r="C6" i="14" s="1"/>
  <c r="C8" i="14" s="1"/>
  <c r="I23" i="14"/>
  <c r="L23" i="14" s="1"/>
  <c r="I22" i="14"/>
  <c r="L22" i="14" s="1"/>
  <c r="N21" i="14"/>
  <c r="K21" i="14"/>
  <c r="I21" i="14"/>
  <c r="L21" i="14" s="1"/>
  <c r="I20" i="14"/>
  <c r="L20" i="14" s="1"/>
  <c r="I19" i="14"/>
  <c r="L19" i="14" s="1"/>
  <c r="I18" i="14"/>
  <c r="L18" i="14" s="1"/>
  <c r="N17" i="14"/>
  <c r="L17" i="14"/>
  <c r="I17" i="14"/>
  <c r="K17" i="14" s="1"/>
  <c r="I16" i="14"/>
  <c r="N16" i="14" s="1"/>
  <c r="N15" i="14"/>
  <c r="I15" i="14"/>
  <c r="L15" i="14" s="1"/>
  <c r="K119" i="14" l="1"/>
  <c r="K42" i="14"/>
  <c r="N20" i="14"/>
  <c r="K36" i="14"/>
  <c r="N49" i="14"/>
  <c r="K69" i="14"/>
  <c r="K19" i="14"/>
  <c r="K26" i="14"/>
  <c r="N70" i="14"/>
  <c r="K109" i="14"/>
  <c r="K115" i="14"/>
  <c r="N77" i="14"/>
  <c r="K15" i="14"/>
  <c r="K22" i="14"/>
  <c r="K33" i="14"/>
  <c r="K65" i="14"/>
  <c r="K71" i="14"/>
  <c r="N84" i="14"/>
  <c r="K97" i="14"/>
  <c r="N116" i="14"/>
  <c r="K127" i="14"/>
  <c r="K105" i="14"/>
  <c r="N19" i="14"/>
  <c r="N67" i="14"/>
  <c r="N32" i="14"/>
  <c r="K45" i="14"/>
  <c r="N58" i="14"/>
  <c r="K103" i="14"/>
  <c r="K18" i="14"/>
  <c r="N18" i="14"/>
  <c r="N22" i="14"/>
  <c r="N39" i="14"/>
  <c r="N46" i="14"/>
  <c r="N104" i="14"/>
  <c r="K123" i="14"/>
  <c r="N127" i="14"/>
  <c r="K23" i="14"/>
  <c r="K40" i="14"/>
  <c r="K16" i="14"/>
  <c r="N23" i="14"/>
  <c r="K34" i="14"/>
  <c r="K61" i="14"/>
  <c r="N73" i="14"/>
  <c r="K80" i="14"/>
  <c r="N112" i="14"/>
  <c r="L16" i="14"/>
  <c r="K48" i="14"/>
  <c r="K20" i="14"/>
  <c r="N24" i="14"/>
  <c r="K55" i="14"/>
  <c r="N62" i="14"/>
  <c r="K74" i="14"/>
  <c r="N81" i="14"/>
  <c r="K107" i="14"/>
  <c r="K113" i="14"/>
  <c r="K94" i="14"/>
  <c r="N120" i="14"/>
  <c r="D19" i="1"/>
  <c r="N25" i="14"/>
  <c r="I134" i="14"/>
  <c r="C7" i="14" s="1"/>
  <c r="K24" i="14"/>
  <c r="K35" i="14"/>
  <c r="K41" i="14"/>
  <c r="K44" i="14"/>
  <c r="K51" i="14"/>
  <c r="K56" i="14"/>
  <c r="K60" i="14"/>
  <c r="K75" i="14"/>
  <c r="K79" i="14"/>
  <c r="K86" i="14"/>
  <c r="K95" i="14"/>
  <c r="K98" i="14"/>
  <c r="K106" i="14"/>
  <c r="K110" i="14"/>
  <c r="K114" i="14"/>
  <c r="K118" i="14"/>
  <c r="K122" i="14"/>
  <c r="L24" i="14"/>
  <c r="L134" i="14" l="1"/>
  <c r="K134" i="14"/>
  <c r="T22" i="1"/>
  <c r="X21" i="1"/>
  <c r="V21" i="1"/>
  <c r="J20" i="13"/>
  <c r="H20" i="13"/>
  <c r="J18" i="13"/>
  <c r="I18" i="13"/>
  <c r="N18" i="13" s="1"/>
  <c r="O18" i="13" s="1"/>
  <c r="G18" i="13"/>
  <c r="N17" i="13"/>
  <c r="O17" i="13" s="1"/>
  <c r="K17" i="13"/>
  <c r="I17" i="13"/>
  <c r="G17" i="13"/>
  <c r="N16" i="13"/>
  <c r="O16" i="13" s="1"/>
  <c r="K16" i="13"/>
  <c r="I16" i="13"/>
  <c r="G16" i="13"/>
  <c r="J15" i="13"/>
  <c r="K15" i="13" s="1"/>
  <c r="I15" i="13"/>
  <c r="N15" i="13" s="1"/>
  <c r="O15" i="13" s="1"/>
  <c r="G15" i="13"/>
  <c r="Q14" i="13"/>
  <c r="L14" i="13"/>
  <c r="K14" i="13"/>
  <c r="I14" i="13"/>
  <c r="G14" i="13"/>
  <c r="N14" i="13" s="1"/>
  <c r="O14" i="13" s="1"/>
  <c r="L13" i="13"/>
  <c r="L20" i="13" s="1"/>
  <c r="K13" i="13"/>
  <c r="J13" i="13"/>
  <c r="I13" i="13"/>
  <c r="N13" i="13" s="1"/>
  <c r="O13" i="13" s="1"/>
  <c r="G13" i="13"/>
  <c r="G20" i="13" s="1"/>
  <c r="L12" i="13"/>
  <c r="K12" i="13"/>
  <c r="I12" i="13"/>
  <c r="I20" i="13" s="1"/>
  <c r="C8" i="13" s="1"/>
  <c r="G12" i="13"/>
  <c r="K20" i="13" l="1"/>
  <c r="C7" i="13"/>
  <c r="C9" i="13" s="1"/>
  <c r="C6" i="13"/>
  <c r="K18" i="13"/>
  <c r="N12" i="13"/>
  <c r="O12" i="13" s="1"/>
  <c r="W18" i="1"/>
  <c r="V18" i="1"/>
  <c r="T18" i="1"/>
  <c r="J25" i="9"/>
  <c r="J21" i="9"/>
  <c r="L17" i="9"/>
  <c r="J17" i="9"/>
  <c r="H17" i="9"/>
  <c r="K15" i="9"/>
  <c r="I15" i="9"/>
  <c r="G15" i="9"/>
  <c r="N14" i="9"/>
  <c r="I14" i="9"/>
  <c r="O14" i="9" s="1"/>
  <c r="G14" i="9"/>
  <c r="K14" i="9" s="1"/>
  <c r="O13" i="9"/>
  <c r="L13" i="9"/>
  <c r="K13" i="9"/>
  <c r="I13" i="9"/>
  <c r="G13" i="9"/>
  <c r="J12" i="9"/>
  <c r="L12" i="9" s="1"/>
  <c r="K12" i="9" s="1"/>
  <c r="K17" i="9" s="1"/>
  <c r="I12" i="9"/>
  <c r="I17" i="9" s="1"/>
  <c r="C8" i="9" s="1"/>
  <c r="G12" i="9"/>
  <c r="G17" i="9" s="1"/>
  <c r="C7" i="9" s="1"/>
  <c r="C9" i="9" s="1"/>
  <c r="N12" i="9" l="1"/>
  <c r="O12" i="9" s="1"/>
  <c r="D15" i="1" l="1"/>
  <c r="D28" i="1" s="1"/>
  <c r="C15" i="1"/>
  <c r="E15" i="1"/>
  <c r="H15" i="1"/>
  <c r="G15" i="1"/>
  <c r="F15" i="1"/>
  <c r="C28" i="1" l="1"/>
  <c r="AA15" i="1"/>
  <c r="H83" i="10"/>
  <c r="L81" i="10"/>
  <c r="K81" i="10"/>
  <c r="I81" i="10"/>
  <c r="N81" i="10" s="1"/>
  <c r="G81" i="10"/>
  <c r="L80" i="10"/>
  <c r="K80" i="10"/>
  <c r="J80" i="10"/>
  <c r="I80" i="10" s="1"/>
  <c r="N80" i="10" s="1"/>
  <c r="G80" i="10"/>
  <c r="N79" i="10"/>
  <c r="L79" i="10"/>
  <c r="K79" i="10" s="1"/>
  <c r="I79" i="10"/>
  <c r="G79" i="10"/>
  <c r="J78" i="10"/>
  <c r="G78" i="10"/>
  <c r="L77" i="10"/>
  <c r="K77" i="10" s="1"/>
  <c r="J77" i="10"/>
  <c r="I77" i="10"/>
  <c r="G77" i="10"/>
  <c r="J76" i="10"/>
  <c r="G76" i="10"/>
  <c r="L75" i="10"/>
  <c r="K75" i="10" s="1"/>
  <c r="J75" i="10"/>
  <c r="I75" i="10"/>
  <c r="N75" i="10" s="1"/>
  <c r="G75" i="10"/>
  <c r="J74" i="10"/>
  <c r="G74" i="10"/>
  <c r="L73" i="10"/>
  <c r="K73" i="10" s="1"/>
  <c r="J73" i="10"/>
  <c r="I73" i="10"/>
  <c r="G73" i="10"/>
  <c r="J72" i="10"/>
  <c r="G72" i="10"/>
  <c r="L71" i="10"/>
  <c r="K71" i="10" s="1"/>
  <c r="J71" i="10"/>
  <c r="I71" i="10"/>
  <c r="N71" i="10" s="1"/>
  <c r="G71" i="10"/>
  <c r="J70" i="10"/>
  <c r="G70" i="10"/>
  <c r="L69" i="10"/>
  <c r="K69" i="10" s="1"/>
  <c r="J69" i="10"/>
  <c r="I69" i="10"/>
  <c r="G69" i="10"/>
  <c r="J68" i="10"/>
  <c r="G68" i="10"/>
  <c r="L67" i="10"/>
  <c r="K67" i="10" s="1"/>
  <c r="J67" i="10"/>
  <c r="I67" i="10"/>
  <c r="N67" i="10" s="1"/>
  <c r="G67" i="10"/>
  <c r="J66" i="10"/>
  <c r="G66" i="10"/>
  <c r="L65" i="10"/>
  <c r="K65" i="10" s="1"/>
  <c r="J65" i="10"/>
  <c r="I65" i="10"/>
  <c r="G65" i="10"/>
  <c r="J64" i="10"/>
  <c r="G64" i="10"/>
  <c r="L63" i="10"/>
  <c r="K63" i="10" s="1"/>
  <c r="J63" i="10"/>
  <c r="I63" i="10"/>
  <c r="N63" i="10" s="1"/>
  <c r="G63" i="10"/>
  <c r="J62" i="10"/>
  <c r="G62" i="10"/>
  <c r="L61" i="10"/>
  <c r="K61" i="10" s="1"/>
  <c r="J61" i="10"/>
  <c r="I61" i="10"/>
  <c r="G61" i="10"/>
  <c r="J60" i="10"/>
  <c r="G60" i="10"/>
  <c r="L59" i="10"/>
  <c r="K59" i="10" s="1"/>
  <c r="J59" i="10"/>
  <c r="I59" i="10"/>
  <c r="G59" i="10"/>
  <c r="N59" i="10" s="1"/>
  <c r="J58" i="10"/>
  <c r="G58" i="10"/>
  <c r="L57" i="10"/>
  <c r="K57" i="10" s="1"/>
  <c r="J57" i="10"/>
  <c r="I57" i="10"/>
  <c r="G57" i="10"/>
  <c r="N57" i="10" s="1"/>
  <c r="J56" i="10"/>
  <c r="G56" i="10"/>
  <c r="L55" i="10"/>
  <c r="K55" i="10" s="1"/>
  <c r="J55" i="10"/>
  <c r="I55" i="10"/>
  <c r="G55" i="10"/>
  <c r="N55" i="10" s="1"/>
  <c r="J54" i="10"/>
  <c r="G54" i="10"/>
  <c r="L53" i="10"/>
  <c r="K53" i="10" s="1"/>
  <c r="J53" i="10"/>
  <c r="I53" i="10"/>
  <c r="G53" i="10"/>
  <c r="N53" i="10" s="1"/>
  <c r="J52" i="10"/>
  <c r="G52" i="10"/>
  <c r="L51" i="10"/>
  <c r="K51" i="10" s="1"/>
  <c r="J51" i="10"/>
  <c r="I51" i="10"/>
  <c r="G51" i="10"/>
  <c r="N51" i="10" s="1"/>
  <c r="J50" i="10"/>
  <c r="G50" i="10"/>
  <c r="L49" i="10"/>
  <c r="K49" i="10" s="1"/>
  <c r="J49" i="10"/>
  <c r="I49" i="10"/>
  <c r="G49" i="10"/>
  <c r="N49" i="10" s="1"/>
  <c r="J48" i="10"/>
  <c r="G48" i="10"/>
  <c r="L47" i="10"/>
  <c r="K47" i="10" s="1"/>
  <c r="J47" i="10"/>
  <c r="I47" i="10"/>
  <c r="G47" i="10"/>
  <c r="N47" i="10" s="1"/>
  <c r="J46" i="10"/>
  <c r="G46" i="10"/>
  <c r="L45" i="10"/>
  <c r="K45" i="10" s="1"/>
  <c r="J45" i="10"/>
  <c r="I45" i="10"/>
  <c r="G45" i="10"/>
  <c r="N45" i="10" s="1"/>
  <c r="L44" i="10"/>
  <c r="K44" i="10"/>
  <c r="I44" i="10"/>
  <c r="G44" i="10"/>
  <c r="L43" i="10"/>
  <c r="K43" i="10" s="1"/>
  <c r="J43" i="10"/>
  <c r="I43" i="10" s="1"/>
  <c r="G43" i="10"/>
  <c r="J42" i="10"/>
  <c r="L42" i="10" s="1"/>
  <c r="K42" i="10" s="1"/>
  <c r="I42" i="10"/>
  <c r="G42" i="10"/>
  <c r="N42" i="10" s="1"/>
  <c r="J41" i="10"/>
  <c r="I41" i="10" s="1"/>
  <c r="G41" i="10"/>
  <c r="J40" i="10"/>
  <c r="L40" i="10" s="1"/>
  <c r="K40" i="10" s="1"/>
  <c r="I40" i="10"/>
  <c r="N40" i="10" s="1"/>
  <c r="G40" i="10"/>
  <c r="J39" i="10"/>
  <c r="I39" i="10" s="1"/>
  <c r="N39" i="10" s="1"/>
  <c r="G39" i="10"/>
  <c r="J38" i="10"/>
  <c r="L38" i="10" s="1"/>
  <c r="K38" i="10" s="1"/>
  <c r="G38" i="10"/>
  <c r="L37" i="10"/>
  <c r="K37" i="10"/>
  <c r="J37" i="10"/>
  <c r="I37" i="10" s="1"/>
  <c r="G37" i="10"/>
  <c r="L36" i="10"/>
  <c r="K36" i="10" s="1"/>
  <c r="J36" i="10"/>
  <c r="I36" i="10"/>
  <c r="G36" i="10"/>
  <c r="N36" i="10" s="1"/>
  <c r="L35" i="10"/>
  <c r="K35" i="10" s="1"/>
  <c r="J35" i="10"/>
  <c r="I35" i="10" s="1"/>
  <c r="G35" i="10"/>
  <c r="J34" i="10"/>
  <c r="L34" i="10" s="1"/>
  <c r="K34" i="10" s="1"/>
  <c r="I34" i="10"/>
  <c r="G34" i="10"/>
  <c r="N34" i="10" s="1"/>
  <c r="J33" i="10"/>
  <c r="I33" i="10" s="1"/>
  <c r="G33" i="10"/>
  <c r="J32" i="10"/>
  <c r="L32" i="10" s="1"/>
  <c r="K32" i="10" s="1"/>
  <c r="I32" i="10"/>
  <c r="N32" i="10" s="1"/>
  <c r="G32" i="10"/>
  <c r="J31" i="10"/>
  <c r="I31" i="10" s="1"/>
  <c r="N31" i="10" s="1"/>
  <c r="G31" i="10"/>
  <c r="J30" i="10"/>
  <c r="L30" i="10" s="1"/>
  <c r="K30" i="10" s="1"/>
  <c r="G30" i="10"/>
  <c r="L29" i="10"/>
  <c r="K29" i="10"/>
  <c r="J29" i="10"/>
  <c r="I29" i="10" s="1"/>
  <c r="G29" i="10"/>
  <c r="N28" i="10"/>
  <c r="L28" i="10"/>
  <c r="K28" i="10" s="1"/>
  <c r="J28" i="10"/>
  <c r="I28" i="10"/>
  <c r="G28" i="10"/>
  <c r="L27" i="10"/>
  <c r="K27" i="10" s="1"/>
  <c r="J27" i="10"/>
  <c r="I27" i="10" s="1"/>
  <c r="G27" i="10"/>
  <c r="N26" i="10"/>
  <c r="J26" i="10"/>
  <c r="L26" i="10" s="1"/>
  <c r="K26" i="10" s="1"/>
  <c r="I26" i="10"/>
  <c r="G26" i="10"/>
  <c r="J25" i="10"/>
  <c r="I25" i="10" s="1"/>
  <c r="G25" i="10"/>
  <c r="J24" i="10"/>
  <c r="L24" i="10" s="1"/>
  <c r="K24" i="10" s="1"/>
  <c r="I24" i="10"/>
  <c r="N24" i="10" s="1"/>
  <c r="G24" i="10"/>
  <c r="J23" i="10"/>
  <c r="I23" i="10" s="1"/>
  <c r="N23" i="10" s="1"/>
  <c r="G23" i="10"/>
  <c r="J22" i="10"/>
  <c r="I22" i="10" s="1"/>
  <c r="N22" i="10" s="1"/>
  <c r="G22" i="10"/>
  <c r="L21" i="10"/>
  <c r="K21" i="10"/>
  <c r="J21" i="10"/>
  <c r="I21" i="10" s="1"/>
  <c r="G21" i="10"/>
  <c r="L20" i="10"/>
  <c r="K20" i="10" s="1"/>
  <c r="J20" i="10"/>
  <c r="I20" i="10"/>
  <c r="G20" i="10"/>
  <c r="N20" i="10" s="1"/>
  <c r="L19" i="10"/>
  <c r="K19" i="10" s="1"/>
  <c r="J19" i="10"/>
  <c r="I19" i="10" s="1"/>
  <c r="G19" i="10"/>
  <c r="L18" i="10"/>
  <c r="K18" i="10" s="1"/>
  <c r="J18" i="10"/>
  <c r="I18" i="10"/>
  <c r="G18" i="10"/>
  <c r="J17" i="10"/>
  <c r="L17" i="10" s="1"/>
  <c r="K17" i="10" s="1"/>
  <c r="I17" i="10"/>
  <c r="G17" i="10"/>
  <c r="J16" i="10"/>
  <c r="L16" i="10" s="1"/>
  <c r="K16" i="10" s="1"/>
  <c r="I16" i="10"/>
  <c r="G16" i="10"/>
  <c r="J15" i="10"/>
  <c r="I15" i="10" s="1"/>
  <c r="G15" i="10"/>
  <c r="L14" i="10"/>
  <c r="K14" i="10"/>
  <c r="J14" i="10"/>
  <c r="I14" i="10"/>
  <c r="G14" i="10"/>
  <c r="J13" i="10"/>
  <c r="L13" i="10" s="1"/>
  <c r="K13" i="10" s="1"/>
  <c r="I13" i="10"/>
  <c r="G13" i="10"/>
  <c r="J12" i="10"/>
  <c r="L12" i="10" s="1"/>
  <c r="K12" i="10" s="1"/>
  <c r="I12" i="10"/>
  <c r="G12" i="10"/>
  <c r="J11" i="10"/>
  <c r="G11" i="10"/>
  <c r="G83" i="10" s="1"/>
  <c r="C6" i="10" s="1"/>
  <c r="L5" i="10"/>
  <c r="J83" i="10" l="1"/>
  <c r="I11" i="10"/>
  <c r="L22" i="10"/>
  <c r="K22" i="10" s="1"/>
  <c r="L11" i="10"/>
  <c r="N19" i="10"/>
  <c r="L23" i="10"/>
  <c r="K23" i="10" s="1"/>
  <c r="N27" i="10"/>
  <c r="L31" i="10"/>
  <c r="K31" i="10" s="1"/>
  <c r="N35" i="10"/>
  <c r="L39" i="10"/>
  <c r="K39" i="10" s="1"/>
  <c r="N43" i="10"/>
  <c r="N44" i="10"/>
  <c r="N61" i="10"/>
  <c r="I62" i="10"/>
  <c r="N62" i="10" s="1"/>
  <c r="L62" i="10"/>
  <c r="K62" i="10" s="1"/>
  <c r="N65" i="10"/>
  <c r="I66" i="10"/>
  <c r="N66" i="10" s="1"/>
  <c r="L66" i="10"/>
  <c r="K66" i="10" s="1"/>
  <c r="N69" i="10"/>
  <c r="I70" i="10"/>
  <c r="N70" i="10" s="1"/>
  <c r="L70" i="10"/>
  <c r="K70" i="10" s="1"/>
  <c r="N73" i="10"/>
  <c r="I74" i="10"/>
  <c r="N74" i="10" s="1"/>
  <c r="L74" i="10"/>
  <c r="K74" i="10" s="1"/>
  <c r="N77" i="10"/>
  <c r="I78" i="10"/>
  <c r="N78" i="10" s="1"/>
  <c r="L78" i="10"/>
  <c r="K78" i="10" s="1"/>
  <c r="L15" i="10"/>
  <c r="K15" i="10" s="1"/>
  <c r="N21" i="10"/>
  <c r="L25" i="10"/>
  <c r="K25" i="10" s="1"/>
  <c r="N29" i="10"/>
  <c r="I30" i="10"/>
  <c r="N30" i="10" s="1"/>
  <c r="L33" i="10"/>
  <c r="K33" i="10" s="1"/>
  <c r="N37" i="10"/>
  <c r="I38" i="10"/>
  <c r="N38" i="10" s="1"/>
  <c r="L41" i="10"/>
  <c r="K41" i="10" s="1"/>
  <c r="I46" i="10"/>
  <c r="N46" i="10" s="1"/>
  <c r="L46" i="10"/>
  <c r="K46" i="10" s="1"/>
  <c r="I48" i="10"/>
  <c r="N48" i="10" s="1"/>
  <c r="L48" i="10"/>
  <c r="K48" i="10" s="1"/>
  <c r="I50" i="10"/>
  <c r="N50" i="10" s="1"/>
  <c r="L50" i="10"/>
  <c r="K50" i="10" s="1"/>
  <c r="I52" i="10"/>
  <c r="N52" i="10" s="1"/>
  <c r="L52" i="10"/>
  <c r="K52" i="10" s="1"/>
  <c r="I54" i="10"/>
  <c r="N54" i="10" s="1"/>
  <c r="L54" i="10"/>
  <c r="K54" i="10" s="1"/>
  <c r="I56" i="10"/>
  <c r="N56" i="10" s="1"/>
  <c r="L56" i="10"/>
  <c r="K56" i="10" s="1"/>
  <c r="I58" i="10"/>
  <c r="N58" i="10" s="1"/>
  <c r="L58" i="10"/>
  <c r="K58" i="10" s="1"/>
  <c r="I60" i="10"/>
  <c r="N60" i="10" s="1"/>
  <c r="L60" i="10"/>
  <c r="K60" i="10" s="1"/>
  <c r="I64" i="10"/>
  <c r="N64" i="10" s="1"/>
  <c r="L64" i="10"/>
  <c r="K64" i="10" s="1"/>
  <c r="I68" i="10"/>
  <c r="N68" i="10" s="1"/>
  <c r="L68" i="10"/>
  <c r="K68" i="10" s="1"/>
  <c r="I72" i="10"/>
  <c r="N72" i="10" s="1"/>
  <c r="L72" i="10"/>
  <c r="K72" i="10" s="1"/>
  <c r="I76" i="10"/>
  <c r="N76" i="10" s="1"/>
  <c r="L76" i="10"/>
  <c r="K76" i="10" s="1"/>
  <c r="N25" i="10"/>
  <c r="N33" i="10"/>
  <c r="N41" i="10"/>
  <c r="I83" i="10" l="1"/>
  <c r="C7" i="10" s="1"/>
  <c r="C8" i="10" s="1"/>
  <c r="L83" i="10"/>
  <c r="K11" i="10"/>
  <c r="K83" i="10" s="1"/>
  <c r="D21" i="1" l="1"/>
  <c r="D22" i="1"/>
  <c r="J23" i="1" l="1"/>
  <c r="D18" i="1" l="1"/>
  <c r="J24" i="1" l="1"/>
  <c r="J25" i="1"/>
  <c r="J26" i="1"/>
  <c r="J27" i="1" l="1"/>
  <c r="I28" i="1" l="1"/>
  <c r="S33" i="1" s="1"/>
  <c r="J19" i="1"/>
  <c r="H28" i="1" l="1"/>
  <c r="F28" i="1"/>
  <c r="E28" i="1" l="1"/>
  <c r="S34" i="1" s="1"/>
  <c r="V28" i="1" l="1"/>
  <c r="W28" i="1"/>
  <c r="G28" i="1" l="1"/>
  <c r="U28" i="1" l="1"/>
  <c r="J15" i="1" l="1"/>
  <c r="S15" i="1" l="1"/>
  <c r="J20" i="1"/>
  <c r="J21" i="1" l="1"/>
  <c r="Q28" i="1" l="1"/>
  <c r="S31" i="1" l="1"/>
  <c r="S32" i="1" l="1"/>
  <c r="S30" i="1"/>
  <c r="J22" i="1"/>
  <c r="T28" i="1"/>
  <c r="J18" i="1"/>
  <c r="J17" i="1"/>
  <c r="P28" i="1"/>
  <c r="S35" i="1" l="1"/>
  <c r="Z28" i="1"/>
  <c r="R28" i="1" l="1"/>
  <c r="M28" i="1"/>
  <c r="L28" i="1"/>
  <c r="K28" i="1"/>
  <c r="J28" i="1" l="1"/>
  <c r="AA28" i="1" l="1"/>
  <c r="S28" i="1"/>
  <c r="O28" i="1" l="1"/>
  <c r="N28" i="1"/>
</calcChain>
</file>

<file path=xl/sharedStrings.xml><?xml version="1.0" encoding="utf-8"?>
<sst xmlns="http://schemas.openxmlformats.org/spreadsheetml/2006/main" count="1866" uniqueCount="905">
  <si>
    <t>PRESUPUESTO</t>
  </si>
  <si>
    <t>APROBADO</t>
  </si>
  <si>
    <t>DEVENGADO</t>
  </si>
  <si>
    <t>OBRA PÚBLICA</t>
  </si>
  <si>
    <t>CUADRO RESUMEN</t>
  </si>
  <si>
    <t>PROGRAMA</t>
  </si>
  <si>
    <t>PDM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</si>
  <si>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</si>
  <si>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</si>
  <si>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</si>
  <si>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</si>
  <si>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</si>
  <si>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</si>
  <si>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</si>
  <si>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Programa</t>
  </si>
  <si>
    <t>Número de Obra</t>
  </si>
  <si>
    <t>Descripción de obra</t>
  </si>
  <si>
    <t>Total</t>
  </si>
  <si>
    <t>Municipal</t>
  </si>
  <si>
    <t>Modalidad  Ejecución</t>
  </si>
  <si>
    <t>Avance Financiero</t>
  </si>
  <si>
    <t>Avance Físico</t>
  </si>
  <si>
    <t>Metas                                                      U.M.         Cantidad</t>
  </si>
  <si>
    <t>Beneficiarios</t>
  </si>
  <si>
    <t>Modalidad Adjudicación</t>
  </si>
  <si>
    <t>Contratista</t>
  </si>
  <si>
    <t>No. De Contrato</t>
  </si>
  <si>
    <t>OBRA</t>
  </si>
  <si>
    <t>_______</t>
  </si>
  <si>
    <t>______</t>
  </si>
  <si>
    <t>3</t>
  </si>
  <si>
    <t>T O T A L E S</t>
  </si>
  <si>
    <t>“Este Programa es público, ajeno a cualquier partido pólitico. Queda prohibido el uso para fines distintos a los establecidos en el programa”.</t>
  </si>
  <si>
    <t>PTTO. ASIGNADO</t>
  </si>
  <si>
    <t>ASIGNADO</t>
  </si>
  <si>
    <t>DM</t>
  </si>
  <si>
    <t xml:space="preserve">RETENCIONES </t>
  </si>
  <si>
    <t>TOTAL OBRA PÚBLICA</t>
  </si>
  <si>
    <t>LIC. MARICELA ARANDA LÓPEZ</t>
  </si>
  <si>
    <t>JEFA DEL DEPTO DE CTROL PPTAL DE LA OBRA PÚBLICA Y PROGRAMS FEDERALES</t>
  </si>
  <si>
    <t xml:space="preserve">PROGRAMAS FEDERALES </t>
  </si>
  <si>
    <t>OBRA POR ADMINSITRACIÓN</t>
  </si>
  <si>
    <t>FINIQUITOS</t>
  </si>
  <si>
    <t>IMAA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</si>
  <si>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</si>
  <si>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TOTAL EJERCIDO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</si>
  <si>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</si>
  <si>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</si>
  <si>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SERVICIOS PERSONALES (1000)</t>
  </si>
  <si>
    <t>MATERIALES Y SUMINISTRO (2000)</t>
  </si>
  <si>
    <t>SERVICIOS GENERALES (3000)</t>
  </si>
  <si>
    <t>OBRA POR CONTRATO          (6000)</t>
  </si>
  <si>
    <t>MATERIALES Y  (2000)</t>
  </si>
  <si>
    <t>BIENES MUEBLES (5000)</t>
  </si>
  <si>
    <t>DEUDA PÚBLICA        (9000)</t>
  </si>
  <si>
    <t>APOYOS              (4000)</t>
  </si>
  <si>
    <t>C.P. JOSE ALFREDO RAMIREZ PEREZ MALDONADO</t>
  </si>
  <si>
    <t xml:space="preserve">OBRA PÚBLICA </t>
  </si>
  <si>
    <t xml:space="preserve">FISM-DF </t>
  </si>
  <si>
    <r>
      <t>FORTASEG</t>
    </r>
    <r>
      <rPr>
        <b/>
        <sz val="18"/>
        <color theme="1"/>
        <rFont val="Futura Bk BT"/>
      </rPr>
      <t xml:space="preserve">  COPARTICIPACION</t>
    </r>
  </si>
  <si>
    <t>AD</t>
  </si>
  <si>
    <t>4</t>
  </si>
  <si>
    <t>5</t>
  </si>
  <si>
    <t>6</t>
  </si>
  <si>
    <t>8</t>
  </si>
  <si>
    <t>9</t>
  </si>
  <si>
    <t>10</t>
  </si>
  <si>
    <t>SOPMA</t>
  </si>
  <si>
    <t>7</t>
  </si>
  <si>
    <t>CAPITULO 1000 DE SEGURIDAD PÚBLICA</t>
  </si>
  <si>
    <t>DEUDA PÚBLICA</t>
  </si>
  <si>
    <t>Capitulo</t>
  </si>
  <si>
    <t>BIENES MUEBLES</t>
  </si>
  <si>
    <t>SERVICIOS GENERALES</t>
  </si>
  <si>
    <t>MATERIALES Y SUMINISTROS</t>
  </si>
  <si>
    <t>SOCIAL  (4000)</t>
  </si>
  <si>
    <t xml:space="preserve">FORTAMUN-DF </t>
  </si>
  <si>
    <t xml:space="preserve">FOREMOBA </t>
  </si>
  <si>
    <r>
      <t>FORTASEG</t>
    </r>
    <r>
      <rPr>
        <b/>
        <sz val="18"/>
        <color theme="1"/>
        <rFont val="Futura Bk BT"/>
      </rPr>
      <t xml:space="preserve">  </t>
    </r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</si>
  <si>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2020</t>
    </r>
  </si>
  <si>
    <t>2020-PDM-0002-DM-06-001</t>
  </si>
  <si>
    <t>2</t>
  </si>
  <si>
    <t>APOYOS COMUNITARIOS. TODO EL MUNICIPIO DE AGUASCALIENTES</t>
  </si>
  <si>
    <t>2020-PDM-0003-DM-05-002</t>
  </si>
  <si>
    <t>MANTENIMIENTO Y ADECUACION DE INFRAESTRUCTURA MUNICIPAL. TODO EL MUNICIPIO DE AGUASCALIENTES</t>
  </si>
  <si>
    <t>REHABILITACION DE AREAS PEATONALES Y ATENCION A PETICIONES CIUDADANAS. TODO EL MUNICIPIO DE AGUASCALIENTES</t>
  </si>
  <si>
    <t>2020-PDM-0005-DM-06-004</t>
  </si>
  <si>
    <t>RESCATANDO NUESTRA ARQUITECTURA. TODO EL MUNICIPIO DE AGUASCALIENTES</t>
  </si>
  <si>
    <t>TIRADEROS DE ESCOMBRO. TODO EL MUNICIPIO DE AGUASCALIENTES</t>
  </si>
  <si>
    <t>2020-PDM-0007-IE-03-001</t>
  </si>
  <si>
    <t>REHABILITACION Y ADECUACION DE ESPACIOS EDUCATIVOS. TODO EL MUNICIPIO DE AGUASCALIENTES</t>
  </si>
  <si>
    <t>REHABILITACION Y MANTENIMIENTO DE VIALIDADES. TODO EL MUNICIPIO DE AGUASCALIENTES</t>
  </si>
  <si>
    <t>PINTURA EN VIALIDADES, NOMENCLATURAS Y SEÑALAMIENTOS DE PROTECCION DE OBRA. TODO EL MUNICIPIO DE AGUASCALIENTES</t>
  </si>
  <si>
    <t>2020-PDM-0010-DM-06-006</t>
  </si>
  <si>
    <t>REHABILITACION Y MANTENIMIENTO DE CAMINOS, CALLES Y AREAS DE TERRACERIAS Y CAUCES. TODO EL MUNICIPIO DE AGUASCALIENTES</t>
  </si>
  <si>
    <t>HABITAT</t>
  </si>
  <si>
    <t>VERTIENTES DE ESPACIOS PÚBLICOS</t>
  </si>
  <si>
    <t>3 X 1 PARA MIGRANTES</t>
  </si>
  <si>
    <t>2020-PDM-0011-EA-01-001</t>
  </si>
  <si>
    <t>11</t>
  </si>
  <si>
    <t>MEJORAMIENTO DE ALUMBRADO PUBLICO, ZONA 01 AV. AYUNTAMIENTO, TRAMO TRAMO ENTRE AV. LAS AMERICAS Y CALLE DIAZ DE LEON</t>
  </si>
  <si>
    <t>C</t>
  </si>
  <si>
    <t>2020-PDM-0012-EA-01-002</t>
  </si>
  <si>
    <t>12</t>
  </si>
  <si>
    <t>MEJORAMIENTO DE ALUMBRADO PUBLICO, ZONA 02  AV. AGUASCALIENTES, TRAMO ENTRE AV. NAZARIO ORTIZ GARZA A AV. ALAMEDA</t>
  </si>
  <si>
    <t>2020-PDM-0013-EA-01-003</t>
  </si>
  <si>
    <t>13</t>
  </si>
  <si>
    <t>MEJORAMIENTO DE ALUMBRADO PUBLICO, ZONA 03  AV. CONVENCION MILITAR, TRAMO ENTRE AV. DE LOS MAESTROS Y CALLE BELISARIO DOMINGUEZ</t>
  </si>
  <si>
    <t>2020-PDM-0014-EA-01-004</t>
  </si>
  <si>
    <t>14</t>
  </si>
  <si>
    <t>MEJORAMIENTO DE ALUMBRADO PUBLICO, ZONA 05  AV. CONVENCION PTE. TRAMO ENTRE CALLE GUADALUPE Y AV. ADOLFO LOPEZ MATEOS</t>
  </si>
  <si>
    <t>2020-PDM-0015-EA-01-005</t>
  </si>
  <si>
    <t>15</t>
  </si>
  <si>
    <t>MEJORAMIENTO DE ALUMBRADO PUBLICO, ZONA 06  BLV. MIGUEL DE LA MADRID, TRAMO ENTRE BLD. LUIS DONALDO COLOSIO Y ARROLLO EL MOLINO</t>
  </si>
  <si>
    <t>2020-PDM-0016-EA-01-006</t>
  </si>
  <si>
    <t>16</t>
  </si>
  <si>
    <t>MEJORAMIENTO DE ALUMBRADO PUBLICO, ZONA 07  AV. UNIVERSIDAD, TRAMO ENTRE AV. CONVENCION Y AV. AGUASCALIENTES.</t>
  </si>
  <si>
    <t>2020-PDM-0017-EA-01-007</t>
  </si>
  <si>
    <t>17</t>
  </si>
  <si>
    <t>MEJORAMIENTO DE ALUMBRADO PUBLICO, ZONA 8 CUMBRES III FRACC.</t>
  </si>
  <si>
    <t>18</t>
  </si>
  <si>
    <t>ESTANCIA PROTECTORA DE MENORES, DE LA DIRECCION DE JUSTICIA MUNICIPAL ETAPA 2 (AIRE ACONDICIONADO) INSTALACIONES DEL C4</t>
  </si>
  <si>
    <t>19</t>
  </si>
  <si>
    <t>ACABADO DE PISOS JARDIN DEL ENCINO. EL ENCINO BARRIO</t>
  </si>
  <si>
    <t>2020-PDM-0020-DM-01-008</t>
  </si>
  <si>
    <t>20</t>
  </si>
  <si>
    <t>ESTUDIOS, PROYECTOS Y PERITOS. AGUASCALIENTES MPIO.</t>
  </si>
  <si>
    <t>2020-PDM-0021-DM-05-009</t>
  </si>
  <si>
    <t>21</t>
  </si>
  <si>
    <t>AGENCIA DE LA FISCALIA DE JUICIOS MUNICIPALES INSTALACIONES C-4, AV. AGUASCALIENTES Y CALLE TULUM S/N, TIERRA BUENA FRACC.</t>
  </si>
  <si>
    <t>2020-PDM-0022-DM-05-010</t>
  </si>
  <si>
    <t>22</t>
  </si>
  <si>
    <t>SALA DE JUICIOS ORALES INSTALACIONES C-4 AV. AGUASCALIENTES Y CALLE TULUM S/N, TIERRA BUENA FRACC.</t>
  </si>
  <si>
    <t>2020-PDM-0023-ID-03-001</t>
  </si>
  <si>
    <t>23</t>
  </si>
  <si>
    <t>REHABILITACION DE ALBERCA V.N.S.A. ETAPA 04 AV. POLIDUCTO S/N. FRACC. VILLAS DE NUESTRA SEÑORA DE LA ASUNCION</t>
  </si>
  <si>
    <t>2020-PDM-0024-UR-04-004</t>
  </si>
  <si>
    <t>24</t>
  </si>
  <si>
    <t>2020-PDM-0025-UR-01-005</t>
  </si>
  <si>
    <t>25</t>
  </si>
  <si>
    <t>CONSTRUCCION DE SOBRECAPETA ASFALTICA, AV. PETROLEOS MEXICANOS TRAMO:ENTRE AV. DE LA CONVENCION DE 1914 Y CALLE DR. CARLOS M. LOPEZ CENTRO ZONA</t>
  </si>
  <si>
    <t>M2</t>
  </si>
  <si>
    <t>2020-PDM-0026-UR-01-006</t>
  </si>
  <si>
    <t>26</t>
  </si>
  <si>
    <t>CONSTRUCCION SOBRECARPETA ASFALTICA, AV. PETROLEOS MEXICANOS TRAMO: ENTRE CALLE DR. CARLOS M. LOPEZ Y CALLE JOSE REYES MARTINEZ  CENTRO ZONA</t>
  </si>
  <si>
    <t xml:space="preserve">SOPMA </t>
  </si>
  <si>
    <t>2020-PDM-0027-UR-01-007</t>
  </si>
  <si>
    <t>27</t>
  </si>
  <si>
    <t xml:space="preserve">CONSTRUCION DE SOBRECARPETA ASFALTIA, AV. PETROLEPS MEXICANPS TRAMO: ENTRE CALLE JOSE REYES MARTINEZ Y CALLE LUIS CHILARDE. CENTRO ZONA </t>
  </si>
  <si>
    <t>28</t>
  </si>
  <si>
    <t>CONSTRUCCION DE SOBRECARPETA ASFALTIA, AV. PETROLEOS MEXICANOS TRAMO: ENTRE CALLE LUIS CHILARDE CALLE NORBERTO GOMEZ HORNEDO, CENTRO ZONA</t>
  </si>
  <si>
    <t>29</t>
  </si>
  <si>
    <t>30</t>
  </si>
  <si>
    <t>CONSTRUCCION DE SOBRECARPETA ASFALTICA, AV. HEROE DE NACAZARI SUR  CALZADA ORIENTE TRAMO: ENTRE AV. AGUASCALIENTES Y CALLE INEGI.  MEXICO FRACC.</t>
  </si>
  <si>
    <t>31</t>
  </si>
  <si>
    <t>32</t>
  </si>
  <si>
    <t>SERVICIOS SANITARIOS PARA EMPLEADOS Y LOCATARIOS CAM. CENTRO DE ATENCION MUNICIPAL, AV. ADOLFO LOPEZ MATEOS S/N OBRAJE COL.</t>
  </si>
  <si>
    <t>2020-PDM-0033-DM-05-12</t>
  </si>
  <si>
    <t>33</t>
  </si>
  <si>
    <t xml:space="preserve">MOBILIARIO, ACCESORIOS Y MAMPARAS EN SERVICIOS SANITARIOS PARA EMPLEADOS Y LOCATARIOS CAM. CENTRO DE ATENCION MUNCIPAL, AV, ADOLFO LOPEZ MATEOS S/N, COL OBRAJE </t>
  </si>
  <si>
    <t>34</t>
  </si>
  <si>
    <t>COMEDOR, COCINA, Y OBRAS VARIAS CAM. CENTRO DE ATENCION  MUNICIPAL, AV. ADOLFO LOPEZ MATEOS S/N COL OBRAJE</t>
  </si>
  <si>
    <t>35</t>
  </si>
  <si>
    <t xml:space="preserve">ACABADOS Y DETALLES CAM. CENTRO DE ATENCION MUNICIPAL, AV. ADOLFO LOPEZ MATEOS S/N, OBRAJE COL. </t>
  </si>
  <si>
    <t>2020-PDM-0036-DM-06-015</t>
  </si>
  <si>
    <t>36</t>
  </si>
  <si>
    <t xml:space="preserve">RAHABILITACION DE FACHADAS CALLE JUAREZ TRAMO DE CALLE RIVERO Y GUTIERREZ A CALLE UNION CENTRO ZONA </t>
  </si>
  <si>
    <t>2020-PDM-0037-DM-06-016</t>
  </si>
  <si>
    <t>37</t>
  </si>
  <si>
    <t>PISO EN INTERIOR Y ATRIO TEMPLO DEL PERPETUO SOCORRO. SAN MARCOS FRACC.</t>
  </si>
  <si>
    <t>2020-PDM-0038-UR-01-012</t>
  </si>
  <si>
    <t>38</t>
  </si>
  <si>
    <t>CONSTRUCCION SOBRECARPETA ASFALTICA CALLE BENITO JUAREZ. TRAMO ENTRE CALLE UNIOM CALLE 5 DE MAYO, CENTRO ZONA</t>
  </si>
  <si>
    <t>39</t>
  </si>
  <si>
    <t xml:space="preserve">CONSTRUCCION DE SOBRECARPETA ASFALTICA CALLE LARREATEGUI. TRAMO ENTRE CALLE GUADALUPE VICTORIA Y CALLE BENDITO JUAREZ CENTRO ZONA </t>
  </si>
  <si>
    <t>2020-PDM-0040-UR-01-014</t>
  </si>
  <si>
    <t>40</t>
  </si>
  <si>
    <t>CONSTRUCCION SOBRECARPETA ASFALTICA CALLE JOSE MARIA MORELOS Y PAVON TRAMO ENTRE CALLE UNION Y CALLE JUAN DE MONTORO, CENTRO ZONA</t>
  </si>
  <si>
    <t>41</t>
  </si>
  <si>
    <t>CARPETA ASFALTICA EN CAM AV. ADOLFO LOPEZ MATEOS S/N OBRAJE COL.</t>
  </si>
  <si>
    <t>42</t>
  </si>
  <si>
    <t xml:space="preserve">SEÑALIZACION EN ESTACIONAMIENTO CAM </t>
  </si>
  <si>
    <t>43</t>
  </si>
  <si>
    <t>44</t>
  </si>
  <si>
    <t>REHABILITACION DE FACHADS CALLE RIVERO Y GUTIERREZ (ACERA NORTE)</t>
  </si>
  <si>
    <t>50</t>
  </si>
  <si>
    <t xml:space="preserve">CONSTRUCCION DE LA ETAPA 6-A COMPLEMENTO DEL RELLENO SANITARIO SAN NICOLAS. KM 9.3 CARRETERA JOSE MARIA MORELSO, AGUASCALIENTES, SAN NICOLAS COM. </t>
  </si>
  <si>
    <t xml:space="preserve">DIRECTA ESTATAL </t>
  </si>
  <si>
    <t>DM-0012-2020</t>
  </si>
  <si>
    <t>DM-015-2020</t>
  </si>
  <si>
    <t>DM0017-2020</t>
  </si>
  <si>
    <t xml:space="preserve">MAQUINARIA Y CONSTRUCCIONES CAFA S.A. DE C.V. </t>
  </si>
  <si>
    <t>DM-0028-2020</t>
  </si>
  <si>
    <t xml:space="preserve">CONSORCIO INDUSTRIAL AIRE S.A DE C.V. </t>
  </si>
  <si>
    <t>DM-0032-2020</t>
  </si>
  <si>
    <t xml:space="preserve">CONSORCIO INDUSTRIAL INTERNACIONAL AIRE S.A. DE C.V. </t>
  </si>
  <si>
    <t>DM-0033-2020</t>
  </si>
  <si>
    <t>HORACIO DE LIRA IBARRA</t>
  </si>
  <si>
    <t>DM-0035-2020</t>
  </si>
  <si>
    <t xml:space="preserve">LUVI S.A. DE C.V. </t>
  </si>
  <si>
    <t>DM-0036-2020</t>
  </si>
  <si>
    <t>INV. RESTRI. ESTATAL</t>
  </si>
  <si>
    <t xml:space="preserve">CONSTRUCCIONES ROLFE S.A.DE C.V </t>
  </si>
  <si>
    <t>DM-0037-2020</t>
  </si>
  <si>
    <t>GRUPO REALIZA S.A. DE C.V</t>
  </si>
  <si>
    <t>DM-0038-2020</t>
  </si>
  <si>
    <t>DM-0039-2020</t>
  </si>
  <si>
    <t xml:space="preserve">AML CONSTRUCTORA S.A. DE C.V </t>
  </si>
  <si>
    <t>DM-0040-2020</t>
  </si>
  <si>
    <t>45</t>
  </si>
  <si>
    <t xml:space="preserve">MUROS INTERIORES EN AREA CENTRAL COMPLEMENTO CAM. AV. ADOLFO LOPEZ MATEOS S/N, OBRAJE COL </t>
  </si>
  <si>
    <t>46</t>
  </si>
  <si>
    <t>47</t>
  </si>
  <si>
    <t xml:space="preserve">INSTALACION ELECTRICA DE MEDIA TENSION, ALIMENTADORES Y CONTACTOS, ETAPA 02 CAM. AV. ADOLFO LOPEZ  MATEOS S/N , OBRAJE COL  </t>
  </si>
  <si>
    <t>2020-PDM-0048-ID-0048-ID-03-002</t>
  </si>
  <si>
    <t>48</t>
  </si>
  <si>
    <t xml:space="preserve">PROTECCION LATERAL DE CANCHA MULTIUSOS. AV. CONVENCION 1914 ORIENTE, S/N LA ESTRELLA FRACC. </t>
  </si>
  <si>
    <t>2020-PDM-0049-DM-05-024</t>
  </si>
  <si>
    <t>49</t>
  </si>
  <si>
    <t xml:space="preserve">AREA DE INVERSIONES EN GOBIERNO DIGITAL CAM. AV. ADOLFO LOPEZ MATEOS S/N, OBRAJE COL </t>
  </si>
  <si>
    <t>51</t>
  </si>
  <si>
    <t>2020-PDM-0053-UR-03-015</t>
  </si>
  <si>
    <t>53</t>
  </si>
  <si>
    <t>BANQUETAS CALLE JUAREZ ACERA ORIENTE, TRAMO ENTRE CALLE UNION Y CALLE 5 DE MAYO, CENTRO ZONA</t>
  </si>
  <si>
    <t>2020-PDM-0054-UR-03-016</t>
  </si>
  <si>
    <t>54</t>
  </si>
  <si>
    <t>BANQUETAS CALLE JUAREZ ACERA PONIENTE, TRAMO ENTRE CALLE UNION Y CALLE 5 DE MAYO, CENTRO ZONA</t>
  </si>
  <si>
    <t>55</t>
  </si>
  <si>
    <t xml:space="preserve">REHABILITACION DE SOBRECARPETA ASFALTICA. AV DE LA CONVENCION DE 1914 NORTE TRAMO DE AV. FUNDICION Y C. EDMUNDO GAMEZ OROZCO, BUENOS AIRES COL. </t>
  </si>
  <si>
    <t>2020-PDM-0056-UR-03-018</t>
  </si>
  <si>
    <t>56</t>
  </si>
  <si>
    <t>REHABILITACION DE BANQUETAS C. RIVERO Y GUTIERREZ (ACERA NORTE)TRAMO ENTRE C. GUADALUPE VICTORIA Y C. JUAREZ CENTRO ZONA</t>
  </si>
  <si>
    <t>2020-PDM-0057-UR-03-019</t>
  </si>
  <si>
    <t>57</t>
  </si>
  <si>
    <t>REHABILITACION DE BANQUETAS C. RIVERO Y GUTIERREZ (ACERA SUR) TRAMO: ENTRE C. GUADALUPE Y VICTORIA Y C. JUAREZ, CENTRO ZONA</t>
  </si>
  <si>
    <t>2020-PDM-0058-UR-03-020</t>
  </si>
  <si>
    <t>58</t>
  </si>
  <si>
    <t>59</t>
  </si>
  <si>
    <t>CENTRO PARA LA INTEGRACION DE ADULTOS MAYORES ETAPA 1</t>
  </si>
  <si>
    <t>2020-PDM-0060-UR-03-021</t>
  </si>
  <si>
    <t>60</t>
  </si>
  <si>
    <t>REPOSICION DE BANQUETAS ZONA 01 VARIOS PUNTOS DE LA CIUDAD DE AGUASCALIENTES</t>
  </si>
  <si>
    <t>2020-PDM-0061-UR-03-022</t>
  </si>
  <si>
    <t>61</t>
  </si>
  <si>
    <t>REPOSOCION DE BANQUETAS ZONA 02 VARIOS PUNTOS DE LA CIUDAD DE AGUASCALIENTES</t>
  </si>
  <si>
    <t>Pago de Sueldos y Pensiones de Seguridad Pública</t>
  </si>
  <si>
    <t>SSP</t>
  </si>
  <si>
    <t>001</t>
  </si>
  <si>
    <t>Federal</t>
  </si>
  <si>
    <t>AM</t>
  </si>
  <si>
    <t>Lote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</si>
  <si>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Calibri"/>
        <family val="2"/>
      </rPr>
      <t xml:space="preserve"> FONDO DE APORTACIÓN PARA EL FORTALECIMIENTO DE LOS MUNICIPIOS Y DEMARCACIONES TERRITORIALES DEL DISTRITO FEDERAL</t>
    </r>
  </si>
  <si>
    <t>FORTAMUN-DF 2020</t>
  </si>
  <si>
    <t>FERNANDO DE JESUS ESPARZA ORTIZ</t>
  </si>
  <si>
    <t>DM-0011-2020</t>
  </si>
  <si>
    <t>ACHER CONSTRUCCIONES Y ABASTECIMIENTOS ELECTROMECANICOS S.A. DE C.V</t>
  </si>
  <si>
    <t>CONSTRUCCIONES Y ELECTRIFICACIONES O&amp;G S.A. DE C.V.</t>
  </si>
  <si>
    <t>DM-0013-2020</t>
  </si>
  <si>
    <t>DM-0016-EA-01-006</t>
  </si>
  <si>
    <t>CONSTRUCCIONES Y PROYECTOS AMBIENTALES PRAGARBA S.A. DE C.V.</t>
  </si>
  <si>
    <t>DM-05-007</t>
  </si>
  <si>
    <t>HDI ARQUITECTURA Y CONSTRUCCION S.A DE C.V.</t>
  </si>
  <si>
    <t xml:space="preserve">CONSTRUCTORA HERLOZA S.A. D C.V. </t>
  </si>
  <si>
    <t xml:space="preserve">URZAZ SUPERVISIONES Y CONSTRUCCIONES Y PROYECTOS EL BAJIO, S.A. DE C.V. </t>
  </si>
  <si>
    <t xml:space="preserve">TRITURADOS Y ASFALTOS TRIANA S.A DE C.V. </t>
  </si>
  <si>
    <t>MA. GUADALUPE GUTIERREZ PADILLA</t>
  </si>
  <si>
    <t>DM-044-DM-06-020</t>
  </si>
  <si>
    <t>GRUPO CONSTRUCTOR KAFRAGS S.A. DE C.V.</t>
  </si>
  <si>
    <t xml:space="preserve">ROKA ELECTRIFICACION Y URBANIZACION S.A. DE C.V. </t>
  </si>
  <si>
    <t>H&amp;P URBANIZACION, EDIFICACION Y SERVICIOS S.A. DE C.V</t>
  </si>
  <si>
    <t>EDIFICACIONES RENACE S.A. DE C.V.</t>
  </si>
  <si>
    <t xml:space="preserve">GLG INGENIEROS S.A. DE C.V. </t>
  </si>
  <si>
    <t xml:space="preserve">CONSTRUCTOR CALVILLOS.A. DE C.V. </t>
  </si>
  <si>
    <t>CONTROL DE OBRA Y CONSTRUCCIONES DE AGUASCALIENTES</t>
  </si>
  <si>
    <t xml:space="preserve">CORPORATIVO CONSTRUYE S.A. DE C.V. </t>
  </si>
  <si>
    <t>2020-PDM-0062-UR-01-023</t>
  </si>
  <si>
    <t>62</t>
  </si>
  <si>
    <t>REHABILITACION DE SOBRECARPETA ASFALTICA. AV. CONVENCION 1914 NORTE CALZADA SUR, TRAMO DE C. EDMUNDO GAMEZ OROZCO Y C. CARLOS SAGREDO/C. SAN CLEMENTE</t>
  </si>
  <si>
    <t>2020-PDM-0063-EA-01-008</t>
  </si>
  <si>
    <t>63</t>
  </si>
  <si>
    <t>REUBICACION DE SUBESTACION 75 KVA CALLE RIVERO Y GUTIERREZ, CENTRO ZONA</t>
  </si>
  <si>
    <t>2020-PDM-0064-UR-01-024</t>
  </si>
  <si>
    <t>64</t>
  </si>
  <si>
    <t>65</t>
  </si>
  <si>
    <t xml:space="preserve">ANUNCIOS Y LOGOTIPOS EN FACHADAS. CALLE JUAREZ TRAMO ENTRE C. RIVERO Y GUTIERREZ Y C. UNION, CENTRO ZONA. </t>
  </si>
  <si>
    <t>66</t>
  </si>
  <si>
    <t>REHABILITACION DE SOBRECARPETA ASFALTICA. AV. DE LA CONVENCION DE 1914 NORTE ENTRE AV. FUNDICION Y C. ASIA, BUENOS AIRES COL.</t>
  </si>
  <si>
    <t>67</t>
  </si>
  <si>
    <t>REHABILITACION DE SOBRECARPETA ASFALTICA CALLE JOSE MARIA ARTEAGA ENTRE CALLE IGNACIO ZARAGOZA Y CALLE MEXICO, CENTRO ZONA</t>
  </si>
  <si>
    <t>68</t>
  </si>
  <si>
    <t>2020-FORTAMUNDF-0052-DM-04-002</t>
  </si>
  <si>
    <t>0052</t>
  </si>
  <si>
    <t>Adquisicion de Vehiculos Equipados como Patrulla</t>
  </si>
  <si>
    <t>JET VAN CAR RENTAL, SA DE CV</t>
  </si>
  <si>
    <t>AD021/2020</t>
  </si>
  <si>
    <t>INVITACIÓN A CUANDO MENOS TRES</t>
  </si>
  <si>
    <t>FONDO RESARCITORIO 2020</t>
  </si>
  <si>
    <t>FONDO RESARCITORIO 2019</t>
  </si>
  <si>
    <t>“Este Programa es público, ajeno a cualquier partido político. Queda prohibido el uso para fines distintos a los establecidos en el programa”.</t>
  </si>
  <si>
    <t xml:space="preserve">Total </t>
  </si>
  <si>
    <t>Prog.</t>
  </si>
  <si>
    <t>Núm. Obra</t>
  </si>
  <si>
    <t>Federal 2020</t>
  </si>
  <si>
    <t>Av. Financiero</t>
  </si>
  <si>
    <t>Av. Físico</t>
  </si>
  <si>
    <t>Modelo de Adjudicación</t>
  </si>
  <si>
    <t>2020-FISMDF-0070-0411101-001</t>
  </si>
  <si>
    <t>04</t>
  </si>
  <si>
    <t>070</t>
  </si>
  <si>
    <t>CONTRATO</t>
  </si>
  <si>
    <t>350</t>
  </si>
  <si>
    <t>2020-FISMDF-0071-0411101-002</t>
  </si>
  <si>
    <t>071</t>
  </si>
  <si>
    <t>450</t>
  </si>
  <si>
    <t>2020-FISMDF-0072-0411101-003</t>
  </si>
  <si>
    <t>072</t>
  </si>
  <si>
    <t>500</t>
  </si>
  <si>
    <t>2020-FISMDF-0073-0411101-004</t>
  </si>
  <si>
    <t>073</t>
  </si>
  <si>
    <t>2020-FISMDF-0074-0411101-005</t>
  </si>
  <si>
    <t>074</t>
  </si>
  <si>
    <t>2020-FISMDF-0075-0411101-006</t>
  </si>
  <si>
    <t>075</t>
  </si>
  <si>
    <t>2020-FISMDF-0076-0411101-007</t>
  </si>
  <si>
    <t>076</t>
  </si>
  <si>
    <t>2020-FISMDF-0077-0411101-008</t>
  </si>
  <si>
    <t>077</t>
  </si>
  <si>
    <t>2020-FISMDF-0078-0411102-009</t>
  </si>
  <si>
    <t>078</t>
  </si>
  <si>
    <t>5000</t>
  </si>
  <si>
    <t>2020-FISMDF-0079-0411102-010</t>
  </si>
  <si>
    <t>079</t>
  </si>
  <si>
    <t>2020-FISMDF-0080-0411102-011</t>
  </si>
  <si>
    <t>080</t>
  </si>
  <si>
    <t>2500</t>
  </si>
  <si>
    <t xml:space="preserve">FONDO PARA LA INFRAESTRUCTURA SOCIAL MUNICIPAL Y DE LAS DEMARCACIONES TERRITORIALES DEL DISTRITO FEDERAL </t>
  </si>
  <si>
    <t xml:space="preserve">SUSAR LIDER ELECTICO S.A. DE C.V. </t>
  </si>
  <si>
    <t>DM-0014-2020</t>
  </si>
  <si>
    <t xml:space="preserve">LM4 POZOS Y CONSTRUCCION S.A DE C.V. </t>
  </si>
  <si>
    <t>DM-0021-2020</t>
  </si>
  <si>
    <t>DM-0022-2020</t>
  </si>
  <si>
    <t>MANTENIMIENTO PREVENTIVO - CORECTIVO A FUENTE DON QUIJOTE. AV. LIC. ADOLFO LOPEZ MATEOS Y AV. HEROE DE NAOZARI ORIENTE</t>
  </si>
  <si>
    <t xml:space="preserve">SUBESTACION DEL CENTRO S.A. DE C.V. </t>
  </si>
  <si>
    <t xml:space="preserve">CESAR ENRIQUE PERALTA PLANCARTE </t>
  </si>
  <si>
    <t>TRANSPORTE MAQUINARIA Y CONSTRUCCIONES S.A DE C.V.</t>
  </si>
  <si>
    <t xml:space="preserve">LUIS ROBERTO DIAZ SANCHEZ </t>
  </si>
  <si>
    <t>DM-0043-2020</t>
  </si>
  <si>
    <t xml:space="preserve">INSTALACION ELECTRICA DE ALUMBRADO INTERIOSR, ETAPA 02 CAM. AV. ADOLFO LOPEZ MATEOS S/N, OBRAJE COL. </t>
  </si>
  <si>
    <t xml:space="preserve">RODRIGUEZ GUZMAN, MIGUEL DE JESUS </t>
  </si>
  <si>
    <t>INV. REST. ESTATAL</t>
  </si>
  <si>
    <t xml:space="preserve">EMULSIONES ASFALTICAS DE AGUASCALIENTES S.A. DE C.V </t>
  </si>
  <si>
    <t>DM-0057-2020</t>
  </si>
  <si>
    <t xml:space="preserve">REHABILITACION DE BANQUETAS C. UNION TRAMO ENTRE CALL  DE MAYO Y CALLE JUAREZ CENTRO ZONA </t>
  </si>
  <si>
    <t>DM-0058-2020</t>
  </si>
  <si>
    <t xml:space="preserve">GRUPO CONSTRUCTOR CONSEGA </t>
  </si>
  <si>
    <t>REHABILITACION E SOBRECARPETA ASFALTICA. AV. CONVENCION 1914 NORTE (CALZADA SUR) TRAMO ENTRE C. CARLOS SAGREDO/C. SAN CLEMENTE Y C. ASIA</t>
  </si>
  <si>
    <t>2020-PDM-0069-DM-05-27</t>
  </si>
  <si>
    <t>69</t>
  </si>
  <si>
    <t>CAMBIO DE CUBIERTA AREA DE FLORES DEL MERCADO TERAN C. 5 DE MAYO ENTRE CALLE UNION Y CALLE ARTEAGA, CENTRO ZONA</t>
  </si>
  <si>
    <t>2020-PDM-0081-UR-01-028</t>
  </si>
  <si>
    <t>81</t>
  </si>
  <si>
    <t xml:space="preserve">RIEGO DE SELLO EN AV. CONVENCION DE 1914 PONIENTE. TRAMO ENTRE CALLE GUADALUPE Y CALLE CARLOS BARRON, GUADLUPE DE BARRIO </t>
  </si>
  <si>
    <t xml:space="preserve">CONSTRUCCIONES Y PROYECTOS URDAZ </t>
  </si>
  <si>
    <t>GERARDO ALEJANDRO ROSALES GUTIERREZ</t>
  </si>
  <si>
    <t>2020-PDM-0032-DM-05-011</t>
  </si>
  <si>
    <t>2020-PDM-0041-DM-05-017</t>
  </si>
  <si>
    <t>2020-PDM-0042-DM-05-018</t>
  </si>
  <si>
    <t>2020-PDM-0050-S5-02</t>
  </si>
  <si>
    <t>ADJ.DIRECTA</t>
  </si>
  <si>
    <t>CONCRETOS UNIVERSALES S.A. C.V.</t>
  </si>
  <si>
    <t>FISMDF-0080-2020</t>
  </si>
  <si>
    <t xml:space="preserve">CAPAMA </t>
  </si>
  <si>
    <t>2020-FISMDF-0088-01024-018</t>
  </si>
  <si>
    <t>088</t>
  </si>
  <si>
    <t>SISTEMA</t>
  </si>
  <si>
    <t>58444</t>
  </si>
  <si>
    <t>2020-FISMDF-0089-01024-019</t>
  </si>
  <si>
    <t>089</t>
  </si>
  <si>
    <t>22304</t>
  </si>
  <si>
    <t>DM-0056-2020</t>
  </si>
  <si>
    <t>DM-0034-2020</t>
  </si>
  <si>
    <t>DM-0059-2020</t>
  </si>
  <si>
    <t>DM-0024-2020</t>
  </si>
  <si>
    <t>DM-0025-2020</t>
  </si>
  <si>
    <t>DM-0026-2020</t>
  </si>
  <si>
    <t>DM-0027-2020</t>
  </si>
  <si>
    <t>DM-0031-2020</t>
  </si>
  <si>
    <t>DM-0041-2020</t>
  </si>
  <si>
    <t>DM-0042-2020</t>
  </si>
  <si>
    <t xml:space="preserve">DM-0048-2020 </t>
  </si>
  <si>
    <t>DM-0051-2020</t>
  </si>
  <si>
    <t>DM-0053-2020</t>
  </si>
  <si>
    <t>DM-054-2020</t>
  </si>
  <si>
    <t>DM-0060-2020</t>
  </si>
  <si>
    <t>DM-061-2020</t>
  </si>
  <si>
    <t>DM-065-2020</t>
  </si>
  <si>
    <t>DM-069-2020</t>
  </si>
  <si>
    <t>DM-0068-2020</t>
  </si>
  <si>
    <t>DM-0030-2020</t>
  </si>
  <si>
    <t>DM-0029-2020</t>
  </si>
  <si>
    <t>DM-045-2020</t>
  </si>
  <si>
    <t>DM-046-2020</t>
  </si>
  <si>
    <t>DM-0047-2020</t>
  </si>
  <si>
    <t>DM-0049-2020</t>
  </si>
  <si>
    <t>DM-0050-2020</t>
  </si>
  <si>
    <t>DM-0055-2020</t>
  </si>
  <si>
    <t>DM-062-2020</t>
  </si>
  <si>
    <t>DM-0063-2020</t>
  </si>
  <si>
    <t>DM-064-2020</t>
  </si>
  <si>
    <t>DM-066-2020</t>
  </si>
  <si>
    <t xml:space="preserve">DM-0019-2020 </t>
  </si>
  <si>
    <t>DM-0023-2020</t>
  </si>
  <si>
    <t>0096</t>
  </si>
  <si>
    <t>Pago de Combustible para los Vehiculos Adscritos a la Secretaría de Seguridad Pública</t>
  </si>
  <si>
    <t>2020-PDM-0067-UR-01-027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</si>
  <si>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Calibri"/>
        <family val="2"/>
      </rPr>
      <t xml:space="preserve"> </t>
    </r>
  </si>
  <si>
    <t>FORTASEG 2020</t>
  </si>
  <si>
    <t>ANEXO TÉCNICO</t>
  </si>
  <si>
    <t>001 A</t>
  </si>
  <si>
    <t>_</t>
  </si>
  <si>
    <t>Evaluaciones</t>
  </si>
  <si>
    <t>002 A</t>
  </si>
  <si>
    <t>Profesionalización, Certificación y Capacitación d elos Elementos Policiales y las Instituciones de Seguridad Pública</t>
  </si>
  <si>
    <t>Varias</t>
  </si>
  <si>
    <t>003 A</t>
  </si>
  <si>
    <t>Equipamiento de las Instituciones de Seguridad Pública</t>
  </si>
  <si>
    <t>004 A</t>
  </si>
  <si>
    <t>Prevensión Social de la Violencia y la Delincuencia con Participación Ciudadana</t>
  </si>
  <si>
    <t>005 A</t>
  </si>
  <si>
    <t>Sistema Nacional de Información, bases de datos del SNSP</t>
  </si>
  <si>
    <t>006 A</t>
  </si>
  <si>
    <t>Fortalecimiento de los Sistemas de Videovigilancia y Geolocalización</t>
  </si>
  <si>
    <t>Piezas</t>
  </si>
  <si>
    <t>007 A</t>
  </si>
  <si>
    <t>Reestructuración y Homologación Salarial</t>
  </si>
  <si>
    <t>Proyecto</t>
  </si>
  <si>
    <t>FORTASEG RENDIMIENTOS EDO.</t>
  </si>
  <si>
    <t>Rehabilitacion de Sobrecarpeta Asfaltica C. Rivero y Gutierrez entre C. Goroztiza y C. Benito Juarez Zona Centro</t>
  </si>
  <si>
    <t>Rehabilitacion de Sobrecarpeta Asfaltica C. Union entre C. Benito Juarez y C. 5 de Mayo Zona Centro</t>
  </si>
  <si>
    <t>2020-FISMDF-0082-01024-012</t>
  </si>
  <si>
    <t>082</t>
  </si>
  <si>
    <t>Equipamiento Electromecanico de Pozo P 189 Molino V Villa Montaña C. Montes de Toledo C. Nevado Huascaran Fracc. Villa Montaña</t>
  </si>
  <si>
    <t>26960</t>
  </si>
  <si>
    <t>2020-FISMDF-0083-01024-013</t>
  </si>
  <si>
    <t>083</t>
  </si>
  <si>
    <t>Equipamiento Electromecanico Pozo P-180 Natura 4 Ubicado al Pte. De la Prolg. Av. Cultura Otomi junto al Lindero Ote. Fracc. Natura</t>
  </si>
  <si>
    <t>36928</t>
  </si>
  <si>
    <t>2020-FISMDF-0084-01021-014</t>
  </si>
  <si>
    <t>084</t>
  </si>
  <si>
    <t>Perforación de Pozo P 180 Natura 4 Ub. Al Pte. Prolog. Av. Cultura Otomi junto al Lindero Ote. Fracc.Natura</t>
  </si>
  <si>
    <t>2020-FISMDF-0085-01021-015</t>
  </si>
  <si>
    <t>085</t>
  </si>
  <si>
    <t>Perforación de Pozo Profundo P 189 Molino V Villa Montaña C. Montes de Toledo C. Nevado Huascaran Fracc. Villa Montaña</t>
  </si>
  <si>
    <t>2020-FISMDF-0086-01021-016</t>
  </si>
  <si>
    <t>086</t>
  </si>
  <si>
    <t>Perforación de Pozo P-059 A Ojocaliente I Av. Aguascalientes Av. Alameda al Sur Fracc. Ojocaliente I</t>
  </si>
  <si>
    <t>2020-FISMDF-0087-01021-017</t>
  </si>
  <si>
    <t>087</t>
  </si>
  <si>
    <t>Perforación de Pozo P-066A Curtidores C. Delfino Araujo C Paseos del Rio al Este Col. Curtidores</t>
  </si>
  <si>
    <t>2020-FISMDF-0094-01024-023</t>
  </si>
  <si>
    <t>094</t>
  </si>
  <si>
    <t>Equipamiento Electromecanico de Pozo P066A c. Delfino Araujo y C. Paseos del Rio Col. Curtidores</t>
  </si>
  <si>
    <t>2020-FISMDF-0095-01024-024</t>
  </si>
  <si>
    <t>095</t>
  </si>
  <si>
    <t>Equipamiento de Pozo P-059-A Av.Aguascalientes Av. Alameda Norte Fracc. Ojocaliente I</t>
  </si>
  <si>
    <t>SEDESOM</t>
  </si>
  <si>
    <t>2020-FISMDF-0097-08302-025</t>
  </si>
  <si>
    <t>097</t>
  </si>
  <si>
    <t>PAQUETE</t>
  </si>
  <si>
    <t>430</t>
  </si>
  <si>
    <t>2020-FISMDF-0090-1137-020</t>
  </si>
  <si>
    <t>090</t>
  </si>
  <si>
    <t>Gastos Indirectos 2020 Mantenimiento Vehicular Mpio. Aguascalientes</t>
  </si>
  <si>
    <t>SERVICIO</t>
  </si>
  <si>
    <t>877190</t>
  </si>
  <si>
    <t>2020-FISMDF-0091-1137-021</t>
  </si>
  <si>
    <t>091</t>
  </si>
  <si>
    <t>Gastos Indirectos 2020 Adquisición de Equipo Topografico Mpio. Aguascalientes</t>
  </si>
  <si>
    <t>2020-FISMDF-0093-1137-022</t>
  </si>
  <si>
    <t>093</t>
  </si>
  <si>
    <t>Gasto Indirectos 2020 Servicios Profesionales Mpio. Aguascalientes</t>
  </si>
  <si>
    <t>2020-FORTAMUNDF-0096-001-DM-06-003</t>
  </si>
  <si>
    <t>DM-0081-2020</t>
  </si>
  <si>
    <t>2020-PDM-0092-DM-05-028</t>
  </si>
  <si>
    <t>92</t>
  </si>
  <si>
    <t>ADECUACION DE OFICINAS DIF MUNICIPAL AV. UNIVERSIDAD NO. 612, PRIMO VERDAD FRACC.</t>
  </si>
  <si>
    <t>JEFA DEL DPTO. DE CONTROL PRESUPUESTAL DE  LA OBRA PÚBLICA Y PROGRAMAS FEDERALES</t>
  </si>
  <si>
    <t>DIRECTOR DE EGREOS</t>
  </si>
  <si>
    <t>2020-FISMDF-0098-02062-026</t>
  </si>
  <si>
    <t>098</t>
  </si>
  <si>
    <t>Rehabilitación de la Red de Alcantarillado Sanitario en Av. De los Maestros y Arroyo San Fernando</t>
  </si>
  <si>
    <t>ML</t>
  </si>
  <si>
    <t>2000</t>
  </si>
  <si>
    <t>2020-FISMDF-0101-0411101-028</t>
  </si>
  <si>
    <t>101</t>
  </si>
  <si>
    <t>Pavimento Hidraulico Av. Mariano Hidalgo(Calzada Oriente) Tramo entre Blvd. Siglo XXI y C.Jose Glez. Carrillo Fracc. Solidaridad 1a Secc.</t>
  </si>
  <si>
    <t>2020-FISMDF-0102-0411101-029</t>
  </si>
  <si>
    <t>102</t>
  </si>
  <si>
    <t>Pavimento Hidraulico Av. Mariano Hidalgo(Calzada Poniente) Tramo entre Blvd. Siglo XXI y C.Jose Glez. Carrillo Fracc. Solidaridad 1a Secc.</t>
  </si>
  <si>
    <t>2020-FISMDF-0103-0411102-030</t>
  </si>
  <si>
    <t>103</t>
  </si>
  <si>
    <t>Sobrecarpeta Asfaltica Av. De la Convención de 1914 Norte(Calzada Norte) Entre Av. Independencia y Av. Prolongacion Libertad Fracc. Circunvalación Norte</t>
  </si>
  <si>
    <t>2020-FISMDF-0104-0411102-031</t>
  </si>
  <si>
    <t>104</t>
  </si>
  <si>
    <t>Sobrecarpeta Asfaltica Av. De la Convención de 1914 Norte(Calzada Sur) Entre Av. Independencia y Av. Prolongacion Libertad Fracc. Circunvalación Norte</t>
  </si>
  <si>
    <t>2020-FISMDF-0105-0411102-032</t>
  </si>
  <si>
    <t>105</t>
  </si>
  <si>
    <t>Sobrecarpeta Asfaltica Av. Petroleos Mexicanos( Calzada Lateral) entre C. Norberto Gomez Av. De la Convewnción de 1914 Norte Mpio. De Ags.</t>
  </si>
  <si>
    <t>2020-FISMDF-0106-0411101-033</t>
  </si>
  <si>
    <t>106</t>
  </si>
  <si>
    <t>2020-FISMDF-0107-0411101-034</t>
  </si>
  <si>
    <t>107</t>
  </si>
  <si>
    <t>Pavimento Hidraulico C. Wolfgang Amadeus Mozart C. Franz Peter Schubert Fracc. Santa Anita</t>
  </si>
  <si>
    <t>1500</t>
  </si>
  <si>
    <t>2020-FISMDF-0108-0411101-035</t>
  </si>
  <si>
    <t>108</t>
  </si>
  <si>
    <t>Pavimento Hidraulico C. Circuito de la Cava entre Circuito de los Almacigos y circuito de la Recolección Inf. Las Viñas</t>
  </si>
  <si>
    <t>3500</t>
  </si>
  <si>
    <t>2020-FISMDF-0109-0411102-036</t>
  </si>
  <si>
    <t>109</t>
  </si>
  <si>
    <t>Sobrecarpeta Asfaltica C. 5 de Febrero C. Josefa Ortiz de Dominguez y C. Poder Legislativo Mpio. De Ags.</t>
  </si>
  <si>
    <t>2020-FISMDF-0110-0411102-037</t>
  </si>
  <si>
    <t>110</t>
  </si>
  <si>
    <t>Sobrecarpeta Asfaltica C. Nieto C. Eduardo J. Correa y C. Mariano Matamoros Zona Centro</t>
  </si>
  <si>
    <t>2020-FISMDF-0111-0411102-038</t>
  </si>
  <si>
    <t>111</t>
  </si>
  <si>
    <t>Sobrecarpeta Asfaltica Av. Geronimo de la Cueva(Calzada Norte) entre Blvd. Siglo XXI Av. Poliducto Fracc. Villas de Nuestra Señora de la Asunción Mpio. De Ags.</t>
  </si>
  <si>
    <t>2020-FISMDF-0112-0411102-039</t>
  </si>
  <si>
    <t>112</t>
  </si>
  <si>
    <t>Sobrecarpeta Asfaltica Av. Geronimo de la Cueva ( Calzada Sur) entre Blvd. Siglo XXI Av. Poliducto Fracc. Villas de Nuestra Señora de la Asunción Mpio. Ags.</t>
  </si>
  <si>
    <t>2020-FISMDF-0113-0411102-040</t>
  </si>
  <si>
    <t>113</t>
  </si>
  <si>
    <t>Sobrecarpeta Asfaltica Av. De la Convención de 1914 Poniente (Calzada Oriente) C. Aquiles Elorduy y C. Guadalupe Fracc. Moderno</t>
  </si>
  <si>
    <t>2020-FISMDF-0114-0411102-041</t>
  </si>
  <si>
    <t>114</t>
  </si>
  <si>
    <t>Sobrecarpeta Asfaltica Av. De la Convención de 1914 Poniente (Calzada Poniente) C. Aquiles Elorduy y C. Guadalupe Fracc. Moderno</t>
  </si>
  <si>
    <t>2020-FISMDF-0115-0411102-042</t>
  </si>
  <si>
    <t>115</t>
  </si>
  <si>
    <t>Sobrecarpeta Asfaltica Av. Luis Donaldo Colosio ( Tramo 02) C.Monte Everest y Av. Universidad Mpio. Ags.</t>
  </si>
  <si>
    <t>2020-FISMDF-0116-0411102-043</t>
  </si>
  <si>
    <t>116</t>
  </si>
  <si>
    <t>Sobrecarpeta Asfaltica Av. Luis Donaldo Colosio ( Tramo 01)  entre Blvd. A Zacatecas y Av. Independencia Mpio. Ags.</t>
  </si>
  <si>
    <t>2020-FISMDF-0117-0740213-044</t>
  </si>
  <si>
    <t>117</t>
  </si>
  <si>
    <t>Mejoramiento Jardin de Niños Jesus Gracia Corona C. Silvano Barba No. 101 Fracc. Jesus Teran Peredo</t>
  </si>
  <si>
    <t>OBRAS</t>
  </si>
  <si>
    <t>188</t>
  </si>
  <si>
    <t>2020-FISMDF-0118-0740215-045</t>
  </si>
  <si>
    <t>118</t>
  </si>
  <si>
    <t>Mejoramiento de CBETIS No. 284 C. La Salud Fracc. J. Guadalupe Peralta Gamez</t>
  </si>
  <si>
    <t>513</t>
  </si>
  <si>
    <t>2020-FISMDF-0119-0740215-046</t>
  </si>
  <si>
    <t>119</t>
  </si>
  <si>
    <t>126</t>
  </si>
  <si>
    <t>2020-FISMDF-0120-0740215-047</t>
  </si>
  <si>
    <t>120</t>
  </si>
  <si>
    <t>689</t>
  </si>
  <si>
    <t>2020-FISMDF-0121-0740214-048</t>
  </si>
  <si>
    <t>121</t>
  </si>
  <si>
    <t>Mejoramiento Escuela Priomaria Patria Interior Ciudad de los Niños Mpio. Ags.</t>
  </si>
  <si>
    <t>2020-FISMDF-0122-0740214-049</t>
  </si>
  <si>
    <t>122</t>
  </si>
  <si>
    <t>635</t>
  </si>
  <si>
    <t>2020-FISMDF-0123-0740213-050</t>
  </si>
  <si>
    <t>123</t>
  </si>
  <si>
    <t>238</t>
  </si>
  <si>
    <t>2020-FISMDF-0124-08303-051</t>
  </si>
  <si>
    <t>124</t>
  </si>
  <si>
    <t xml:space="preserve">Construcción de 22 Recamaras Adicionales en Planta Baja Varios Puntos del Mpio. De Ags. </t>
  </si>
  <si>
    <t>VIVIENDA</t>
  </si>
  <si>
    <t>2020-FISMDF-0125-08303-052</t>
  </si>
  <si>
    <t>125</t>
  </si>
  <si>
    <t xml:space="preserve">Construcción de 22 Recamaras Adicionales en Planta Alta Varios Puntos del Mpio. De Ags. </t>
  </si>
  <si>
    <t>2020-FISMDF-0126-08303-053</t>
  </si>
  <si>
    <t>2020-FISMDF-0129-1342-056</t>
  </si>
  <si>
    <t>129</t>
  </si>
  <si>
    <t>Parque Potreros del Oeste Blvd. Siglo XXI Andador Crepusculo U/Hab. Potreros del Oeste</t>
  </si>
  <si>
    <t>2020-FISMDF-0130-1342-057</t>
  </si>
  <si>
    <t>130</t>
  </si>
  <si>
    <t>Parque Villa de las Palmas 2a Etapa Fracc. Villa las Palmas</t>
  </si>
  <si>
    <t>2020-FISMDF-0131-1342-058</t>
  </si>
  <si>
    <t>131</t>
  </si>
  <si>
    <t>Rehabilitación Parque Valle de los Cactus 2a Etapa Fracc.Valle de los Cactus</t>
  </si>
  <si>
    <t>2020-FISMDF-0132-1342-059</t>
  </si>
  <si>
    <t>132</t>
  </si>
  <si>
    <t>Construcción de Fuente Jardin la Salud C. Princesitas C. Delicias C. San Atanacio Barrio la Salud</t>
  </si>
  <si>
    <t>2020-FISMDF-0133-1342-060</t>
  </si>
  <si>
    <t>133</t>
  </si>
  <si>
    <t>Obra Escultorica Fuente Jardin la Salud C. Princesitas C. Delicias C. San Atanacio Barrio la Salud</t>
  </si>
  <si>
    <t>2020-FISMDF-0134-04401-061</t>
  </si>
  <si>
    <t>134</t>
  </si>
  <si>
    <t>Bebederode Granito Tipo (36 Piezas) Varios Puntos de la Ciudad Mpio. Ags.</t>
  </si>
  <si>
    <t>700</t>
  </si>
  <si>
    <t>2020-FISMDF-0135-04401-062</t>
  </si>
  <si>
    <t>135</t>
  </si>
  <si>
    <t>Mercado Teran ( Construcción de Toldo sobre Fachada 5 de Mayo) C. 5 de Mayo entre C. Union y C. Arteaga Zona Centro</t>
  </si>
  <si>
    <t>600</t>
  </si>
  <si>
    <t>2020-FISMDF-0136-04401-063</t>
  </si>
  <si>
    <t>136</t>
  </si>
  <si>
    <t>Mercado Teran ( Acabados Area de Piedras Interior) C. 5 de Mayo entre C. Union y C. Arteaga Zona Centro</t>
  </si>
  <si>
    <t>300</t>
  </si>
  <si>
    <t>2020-FISMDF-0137-04401-064</t>
  </si>
  <si>
    <t>137</t>
  </si>
  <si>
    <t>Rehabilitación de Pasaje Ortega C. 5 de Mayo y C. Lic. Benito Juarez Zona Centro</t>
  </si>
  <si>
    <t>2020-FISMDF-0138-04401-065</t>
  </si>
  <si>
    <t>138</t>
  </si>
  <si>
    <t>Mercado Morelos ( Reparación de Segmento de Acometidas Locales) C. Jose Ma. Morelos y Pavon Zona Centro</t>
  </si>
  <si>
    <t>2020-FISMDF-0139-04401-066</t>
  </si>
  <si>
    <t>139</t>
  </si>
  <si>
    <t>Mercado Guillermo Prieto(Instalación Electrica de Concentración de Medidores a Local) C. Guillermo Prieto No. 419 Col. Altavista</t>
  </si>
  <si>
    <t>2020-FISMDF-0140-04401-067</t>
  </si>
  <si>
    <t>140</t>
  </si>
  <si>
    <t>Mercado Villas de Nuestra Sra.de la Asunción( Mantenimiento de Cubierta) C. Ermita San Sebastian y C. Rogelio Galindo de la Torre VNSA Sector Guadalupe 1a Sección</t>
  </si>
  <si>
    <t>2020-FISMDF-0141-04401-068</t>
  </si>
  <si>
    <t>141</t>
  </si>
  <si>
    <t>Mejoramiento de Techumbre Salon de Usos Multiples Ojo de Agua C. Michoacan y C. Casa Blanca  Inf. Ojo de Agua</t>
  </si>
  <si>
    <t>150</t>
  </si>
  <si>
    <t>2020-FISMDF-0142-04401-069</t>
  </si>
  <si>
    <t>142</t>
  </si>
  <si>
    <t>Mejoramiento de Techumbre Salon de Usos Multiples Pilar Blanco Av. Faisan Esq. Blvd. Aguila Inf. Pilar Blanco</t>
  </si>
  <si>
    <t>2020-FISMDF-0143-04401-070</t>
  </si>
  <si>
    <t>143</t>
  </si>
  <si>
    <t>Mejoramiento de Techumbre Salon de Usos Multiples Emiliano Zapata C. Ayala C. Antonio Diaz Soto y Gama C. Carlos M. Bustamante  Fracc. Emiliano Zapata</t>
  </si>
  <si>
    <t>2020-FISMDF-0144-04401-071</t>
  </si>
  <si>
    <t>144</t>
  </si>
  <si>
    <t>Mejoramiento de Techumbre Salon de Usos Multiples Vivienda Popular C. D U/Hab. Vivienda Popular</t>
  </si>
  <si>
    <t>2020-FISMDF-0145-04401-072</t>
  </si>
  <si>
    <t>145</t>
  </si>
  <si>
    <t>Mejoramiento de Techumbre Salon de Usos Multiples Ojocaliente III C. el Mocho y C.San Pedro Fracc. Ojocaliente 3a Secc.</t>
  </si>
  <si>
    <t>2020-FISMDF-0146-04401-073</t>
  </si>
  <si>
    <t>146</t>
  </si>
  <si>
    <t>Mejoramiento de Techumbre Salon de Usos Multiples Fidel Velazquez C. Jardin de Versalles y C. Trocadero Inf. Fidel Velazquez</t>
  </si>
  <si>
    <t>2020-FISMDF-0147-1342-074</t>
  </si>
  <si>
    <t>147</t>
  </si>
  <si>
    <t>Parque Vecinal Ojocaliente ( Trotapista) Av. Ojocaliente y C. Cotorinas Fracc. Ojocaliente 1a Secc.</t>
  </si>
  <si>
    <t>400</t>
  </si>
  <si>
    <t>2020-FISMDF-0148-1342-075</t>
  </si>
  <si>
    <t>148</t>
  </si>
  <si>
    <t>2020-FISMDF-0149-1342-076</t>
  </si>
  <si>
    <t>149</t>
  </si>
  <si>
    <t>Gimnasio de Usos Multiples Linea Verde Av. Poliducto C. Ermita de San Sebastian VNSA Sector Gpe. 1a Secc.</t>
  </si>
  <si>
    <t>2020-FISMDF-0150-1342-077</t>
  </si>
  <si>
    <t>Cancha de Futbol 7 ( Obra Civil) Parque Ex Pension Municipal Av. San Gabriel Fracc. Ojocaliente II Mpio. Ags.</t>
  </si>
  <si>
    <t>2020-FISMDF-0151-1342-078</t>
  </si>
  <si>
    <t>151</t>
  </si>
  <si>
    <t>Cancha de Futbol 7 ( Acabados y Herreria) Parque Ex Pension Municipal Av. San Gabriel Fracc. Ojocaliente II Mpio. Ags.</t>
  </si>
  <si>
    <t>2020-FISMDF-0152-1342-079</t>
  </si>
  <si>
    <t>152</t>
  </si>
  <si>
    <t>Rehabilitación de Cancha de Futbol Rapido Parque Azul C. Gral. Mateo Almanza Esq. C. Gral. Luis Moya Fracc. Insurgentes</t>
  </si>
  <si>
    <t>2020-FISMDF-0153-1342-080</t>
  </si>
  <si>
    <t>153</t>
  </si>
  <si>
    <t>Construcción de Cubierta en Cancha de Parque S.T.E.M.A. Av. Aguascalientes C. Articulo 115 y C. Jesus Maria Fracc. S.T.E.M.A.</t>
  </si>
  <si>
    <t>2020-FISMDF-0154-1342-081</t>
  </si>
  <si>
    <t>154</t>
  </si>
  <si>
    <t>Construcción de Cubierta en Cancha de Parque Municipio Libre C. Heroico Militar C. Ecologia y C. Derechos Humanos Fracc. Mpio. Libre</t>
  </si>
  <si>
    <t>2020-FISMDF-0155-1342-082</t>
  </si>
  <si>
    <t>155</t>
  </si>
  <si>
    <t>Construcción de Cubierta en Cancha de Parque San Marcos C. Aquiles Elorduy y C.Valle Fracc. San Marcos</t>
  </si>
  <si>
    <t>2020-FISMDF-0156-1342-083</t>
  </si>
  <si>
    <t>156</t>
  </si>
  <si>
    <t>Construcción de Cubierta en Cancha Canal Interceptor C.Canal Interceptor y C. Aglaya Fracc. Las Hadas</t>
  </si>
  <si>
    <t>2020-FISMDF-0157-1342-084</t>
  </si>
  <si>
    <t>157</t>
  </si>
  <si>
    <t>Construcción de Cubierta en Cancha Pilar Blanco Av. Canario y Andador Paseo del Condor Inf. Pilar Blanco</t>
  </si>
  <si>
    <t>2020-FISMDF-0158-1342-085</t>
  </si>
  <si>
    <t>158</t>
  </si>
  <si>
    <t>Construcción de Cubierta en Cancha Parque C.N.O.P. Blvd. Guadalupano y C.Prof. Jose Antonio Velarde C.N.O.P. Fracc. Oriente</t>
  </si>
  <si>
    <t>2020-FISMDF-0159-1342-086</t>
  </si>
  <si>
    <t>159</t>
  </si>
  <si>
    <t>Construcción de Cubierta en Cancha Parque Lomas de Ajedrez C. Diagonal Alfil Av. del Rey y C. Alfil Negro Fracc. Lomas del Ajedrez</t>
  </si>
  <si>
    <t>2020-FISMDF-0160-1342-087</t>
  </si>
  <si>
    <t>160</t>
  </si>
  <si>
    <t>Construcción de Cubierta en Cancha Comunidad Jaltomate C. Benito Juarez C. Libertad y C. Jesus Maria Com. Jaltomate</t>
  </si>
  <si>
    <t>250</t>
  </si>
  <si>
    <t>2020-FISMDF-0161-1342-088</t>
  </si>
  <si>
    <t>161</t>
  </si>
  <si>
    <t>Construcción de Cubierta en Cancha del Parque Ojocaliente I Av. SAN Francisco de los Vivero y C. Coecillo Fracc. Ojocaliente I Mpio. Ags.</t>
  </si>
  <si>
    <t>2020-FISMDF-0162-1342-089</t>
  </si>
  <si>
    <t>162</t>
  </si>
  <si>
    <t>Construcción de Cubierta en Cancha Insurgentes "A" Av. Belizario Domimguez y Av. De la Convención Fracc. Insurgentes</t>
  </si>
  <si>
    <t>2020-FISMDF-0163-1342-090</t>
  </si>
  <si>
    <t>163</t>
  </si>
  <si>
    <t>Construcción de Cubierta en Cancha Insurgentes "B" Av. Belizario Domimguez y Av. De la Convención Fracc. Insurgentes</t>
  </si>
  <si>
    <t>2020-FISMDF-0164-1342-091</t>
  </si>
  <si>
    <t>164</t>
  </si>
  <si>
    <t>Construcción de Cubierta en Cancha Insurgentes "C" Av. Belizario Domimguez y Av. De la Convención Fracc. Insurgentes</t>
  </si>
  <si>
    <t>2020-FISMDF-0165-1342-092</t>
  </si>
  <si>
    <t>165</t>
  </si>
  <si>
    <t>Construcción de Cubierta en Cancha de Parque Versalles II C. Enrique C.R ebsamen y C. Francisco Carrera Torres 2a Secc. Fracc. Versalles</t>
  </si>
  <si>
    <t>2020-FISMDF-0166-1342-093</t>
  </si>
  <si>
    <t>166</t>
  </si>
  <si>
    <t>Construcción de Cubierta en Explanada del Templo Santa Maria de Gallardo Frente al Templo Com. Santa Maria de Gallardo</t>
  </si>
  <si>
    <t>200</t>
  </si>
  <si>
    <t>2020-FISMDF-0167-1342-094</t>
  </si>
  <si>
    <t>167</t>
  </si>
  <si>
    <t>Construcción de Cubierta en Cancha de Parque Mexico Libre C. Sitio de Cuautla y C. Mexico Libre Fracc. Morelos 1a Secc.</t>
  </si>
  <si>
    <t>2020-FISMDF-0168-1342-095</t>
  </si>
  <si>
    <t>168</t>
  </si>
  <si>
    <t>Construcción de Cubierta en Cancha de Parque Valle de los Cactus C. Paseo de la Biznaga y C.Juventino de la Torre Fracc. Valle de los Cactus</t>
  </si>
  <si>
    <t>2020-FISMDF-0169-1342-096</t>
  </si>
  <si>
    <t>169</t>
  </si>
  <si>
    <t>Construcción de Cubierta en Cancha de Parque VNSA Av. Poliducto y C. Ermita de San Sebastian VNSA Sector Guadalupe 1a Secc.</t>
  </si>
  <si>
    <t>2020-FISMDF-0170-1342-097</t>
  </si>
  <si>
    <t>170</t>
  </si>
  <si>
    <t>Construcción de Cubierta en Cancha de Parque Ojo de Agua Av. Ferrocaril y Av. Ayuntamiento Inf. Ojo de Agua</t>
  </si>
  <si>
    <t>2020-FISMDF-0171-1342-098</t>
  </si>
  <si>
    <t>171</t>
  </si>
  <si>
    <t>Parque Urbano Jesus Teran (Trotapista y Gradas) C.el Zarco Fracc. Municipio Libre</t>
  </si>
  <si>
    <t>2020-FISMDF-0174-1342-101</t>
  </si>
  <si>
    <t>174</t>
  </si>
  <si>
    <t>Canchas de Tenis Canal Interceptor enrte C. Hierro y Av. Universidad Mpio. Ags.</t>
  </si>
  <si>
    <t>2020-FISMDF-0175-0411102-102</t>
  </si>
  <si>
    <t>175</t>
  </si>
  <si>
    <t>Sobrecarpeta Asfaltica Blvd. A Zacatecas ( Calzada Oriente) Blvd. A Zacatecas Tramo entre Av. Convención 1914 y C. Ebano</t>
  </si>
  <si>
    <t>3000</t>
  </si>
  <si>
    <t>2020-FISMDF-0176-0411102-103</t>
  </si>
  <si>
    <t>176</t>
  </si>
  <si>
    <t>Sobrecarpeta Asfaltica Blvd. A Zacatecas ( Calzada Poniente) Blvd. A Zacatecas Tramo entre Av. Convención 1914 y C. Ebano</t>
  </si>
  <si>
    <t>2020-FISMDF-0177-01342-104</t>
  </si>
  <si>
    <t>177</t>
  </si>
  <si>
    <t>Construcción de Cancha de Usos Multiples en Parque Villas de Nuestra Señora de las Asunción Av. Jose de Jesus Glez. C. Jose Becerra y C. Gerardo Macias VNSA.</t>
  </si>
  <si>
    <t>2020-FISMDF-0178-01342-105</t>
  </si>
  <si>
    <t>178</t>
  </si>
  <si>
    <t>Gradas Canchas de Futbol Americano Parque Industrial Av. Carolina Villanueva Ciudad Industrial</t>
  </si>
  <si>
    <t>2020-FISMDF-0179-01342-106</t>
  </si>
  <si>
    <t>179</t>
  </si>
  <si>
    <t>Construcción de Cubierta en Cancha de Parque Ex Pension Municipal Av. Ojocaliente y Av. San Gabriel Fracc. Ojocaliente 1a Secc.</t>
  </si>
  <si>
    <t>2020-FISMDF-0099-1137-027</t>
  </si>
  <si>
    <t>099</t>
  </si>
  <si>
    <t>Gastos Indirectos 2020 (SEDESOM) Todo el Mpio. De Aguascalientes</t>
  </si>
  <si>
    <t>PROYECTO</t>
  </si>
  <si>
    <t>2020-FISMDF-0172-1137-099</t>
  </si>
  <si>
    <t>172</t>
  </si>
  <si>
    <t>Gastos Indirectos (Honorarios) Todo el Mpio.de Aguascalientes</t>
  </si>
  <si>
    <t>173</t>
  </si>
  <si>
    <t>2020-PDM-0006-001-DM-05-005</t>
  </si>
  <si>
    <t>2020-PDM-0008-003-UR-05-001</t>
  </si>
  <si>
    <t>2020-PDM-0009-007-UR-05-002</t>
  </si>
  <si>
    <t>2020-PDM-0018-001-DM-05-007  FINAL</t>
  </si>
  <si>
    <t>VARIOS</t>
  </si>
  <si>
    <t>2020-PDM-0028-001-UR-01-008</t>
  </si>
  <si>
    <t>INGENIERIA Y ARQUITECTURA H3, S.A. DE C.V.</t>
  </si>
  <si>
    <t>2020-PDM-0039-001-UR-01-013  FINAL</t>
  </si>
  <si>
    <t>2020-PDM-0043-001-DM-06-019  FINAL</t>
  </si>
  <si>
    <t>2020-PDM-0044-001-DM-06-020  FINAL</t>
  </si>
  <si>
    <t>2020-PDM-0045-001-DM-05-021  FINAL</t>
  </si>
  <si>
    <t>2020-PDM-0046-001- DM-05-022  FINAL</t>
  </si>
  <si>
    <t>2020-PDM-0047-001-DM-05-023  FINAL</t>
  </si>
  <si>
    <t>2020-PDM-0055-001-UR-01-017  FINAL</t>
  </si>
  <si>
    <t>2020-PDM-0059-UR-05-025</t>
  </si>
  <si>
    <t>2020-PDM-0066-001-UR-01-025  FINAL</t>
  </si>
  <si>
    <t>DM-0067-2020</t>
  </si>
  <si>
    <t>2020-PDM-0100-DM-05-029</t>
  </si>
  <si>
    <t>100</t>
  </si>
  <si>
    <t>PANTEON MUNICIPAL SAN FRANCISCO 57 FOSAS, BARDA Y BANQUETAS. BLVD. SIGLO XXI SUR No. 3306, VILLAS DEL PILAR FRACC. 1ra. SECC.</t>
  </si>
  <si>
    <t>APOYOS</t>
  </si>
  <si>
    <t>Fortalecimiento de las Capacidades de Evaluación en Control de Confianza</t>
  </si>
  <si>
    <t>2020-PDM-0004-001-DM-06-003</t>
  </si>
  <si>
    <t>2020-PDM-0019-001-UR-04-003 FINAL</t>
  </si>
  <si>
    <t>2020-PDM-0029-001-UR-01-009 FINAL</t>
  </si>
  <si>
    <t>CONSTRUCCION DE SOBRECARPETA ASFALTICA, AV. HEROE DE NACAZARI SUR CALZADA ORIENTE TRAMO: ENTRE PASO PEATONAL Y CALLE MONTEALBAN. MEXICO FRACC.(MODIFICADO)</t>
  </si>
  <si>
    <t>2020-PDM-0030-001-UR-01-010 FINAL</t>
  </si>
  <si>
    <t>2020-PDM-0031-001-UR-01-011 FINAL</t>
  </si>
  <si>
    <t>CONSTRUCCION DE SOBRECARPETA ASFALTICA, AV. HEROE DE NACAZARI SUR  CALZADA ORIENTE TRAMO: ENTRE CALLE INEGI Y PASO PEATONAL. MEXICO FRACC. (MODIFICADO)</t>
  </si>
  <si>
    <t>2020-PDM-0034-001-DM-05-013  FINAL</t>
  </si>
  <si>
    <t>2020-PDM-0035-001-DM-05-14  FINAL</t>
  </si>
  <si>
    <t>2020-PDM-0051-001-ID-03-003</t>
  </si>
  <si>
    <t>COMPLEMENTO DE SERVICIOS SANITARIOS EN ALBERCA BOULEVARES, CALLE SESUS SOTELO INCLAN, BOULEVARES FRACC. 1A SECCION (MODIFICADO)</t>
  </si>
  <si>
    <t>2020-PDM-0065-001-DM-06-026  FINAL</t>
  </si>
  <si>
    <t>2020-PDM-0068-001-UR-01-027 FINAL</t>
  </si>
  <si>
    <t>2020-PDM-0183-S5-02-002</t>
  </si>
  <si>
    <t>183</t>
  </si>
  <si>
    <t>CONSTRUCCION ETAPA 6-A COMPLEMENTO(AMPLIACION OBRA CIVIL) RELLENO SANITARIO SAN NICOLAS KILOMETRO 9.3 CARRETERA A JOSE MARIA MORELOS, SAN NICOLAS COM.</t>
  </si>
  <si>
    <t>2020-FORTAMUNDF-0001-003-DM-06-001</t>
  </si>
  <si>
    <t>2020-FORTAMUNDF-0188-DM-06-004</t>
  </si>
  <si>
    <t>0188</t>
  </si>
  <si>
    <t>Pago de la Implementación del Servicio de Monitoreo del Personal Operativo en Tiempo Real</t>
  </si>
  <si>
    <r>
      <t>Pavimento Hidráulico C. el Grullo entre C. Ameca y C. Amatitan Fracc. La Soledad</t>
    </r>
    <r>
      <rPr>
        <b/>
        <sz val="11"/>
        <rFont val="Futura Bk BT"/>
      </rPr>
      <t>(CANCELADA)</t>
    </r>
  </si>
  <si>
    <r>
      <t>Pavimento Hidraulico C. el Garbanzo entre C. de la Espiga y C.Hacienda Mesillas Col. El Riego</t>
    </r>
    <r>
      <rPr>
        <b/>
        <sz val="11"/>
        <rFont val="Futura Bk BT"/>
      </rPr>
      <t>(CANCELADA)</t>
    </r>
  </si>
  <si>
    <r>
      <t>Pavimento Hidraulico C. Lluvia entre C. de la Espiga y C. Hcienda Mesillas Col. El Riego</t>
    </r>
    <r>
      <rPr>
        <b/>
        <sz val="11"/>
        <rFont val="Futura Bk BT"/>
      </rPr>
      <t>(CANCELADA)</t>
    </r>
  </si>
  <si>
    <r>
      <t>Pavimento Hidraulico C. Ernesto Che Guevara entre C. Francisco Villa y Carr. Ags-Slp Ej. Norias de Paso Hondo</t>
    </r>
    <r>
      <rPr>
        <b/>
        <sz val="11"/>
        <rFont val="Futura Bk BT"/>
      </rPr>
      <t>(CANCELADA)</t>
    </r>
  </si>
  <si>
    <r>
      <t>Pavimento Hidraulico C. Camilo Cien Fuegos entre C. Francisco Villa y Carrt. Ags-Slp Ej. Norias de Paso Hondo</t>
    </r>
    <r>
      <rPr>
        <b/>
        <sz val="11"/>
        <rFont val="Futura Bk BT"/>
      </rPr>
      <t>(CANCELADA)</t>
    </r>
  </si>
  <si>
    <r>
      <t>Pavimento Hidraulico C. Felipe Angeles Sur entre C. Francisco Villa y Carrt. Ags-Slp Ej Norias de Paso Hondo</t>
    </r>
    <r>
      <rPr>
        <b/>
        <sz val="11"/>
        <rFont val="Futura Bk BT"/>
      </rPr>
      <t>(CANCELADA)</t>
    </r>
  </si>
  <si>
    <r>
      <t>Pavimento Hidraulico C. Catzopan entre C. Delicias y C. Celedonia Fracc. Lomas del Gachupin</t>
    </r>
    <r>
      <rPr>
        <b/>
        <sz val="11"/>
        <rFont val="Futura Bk BT"/>
      </rPr>
      <t>(CANCELADA)</t>
    </r>
  </si>
  <si>
    <r>
      <t>Pavimento Hidraulico C. Chapin entre C. Delicias y C. las Flores Fracc. Lomas del Gachupin</t>
    </r>
    <r>
      <rPr>
        <b/>
        <sz val="11"/>
        <rFont val="Futura Bk BT"/>
      </rPr>
      <t>(CANCELADA)</t>
    </r>
  </si>
  <si>
    <r>
      <t>Rehabilitacion de Sobrecarpeta Asfaltica C. Guzman entre C. Benito Juarez y Av. Ignacio Zaragoza Zona Centro</t>
    </r>
    <r>
      <rPr>
        <b/>
        <sz val="11"/>
        <rFont val="Futura Bk BT"/>
      </rPr>
      <t>(CANCELADA)</t>
    </r>
  </si>
  <si>
    <t>CONV. PUB. ESTATAL</t>
  </si>
  <si>
    <t>CONSTRUCTORA CALVILLO S.A. DE C.V.</t>
  </si>
  <si>
    <t>FISMDF-CAP-05-2020</t>
  </si>
  <si>
    <t>CODEPRO CONSTRUCCIONES S.A. DE C.V.</t>
  </si>
  <si>
    <t>FISMDF-CAP-03-2020</t>
  </si>
  <si>
    <t>ECOGRANJAS S. DE R.L. DE C.V.</t>
  </si>
  <si>
    <t>FISMDF-CAP-01-2020</t>
  </si>
  <si>
    <t>PERFILES DE AGUASCALIENTES S.A. DE C.V.</t>
  </si>
  <si>
    <t>FISMDF-CAP-02-2020</t>
  </si>
  <si>
    <t>LM4 POZOS Y CONSTRUCCIONES S.A. DE C.V.</t>
  </si>
  <si>
    <t>FISMDF-CAP-04-2020</t>
  </si>
  <si>
    <r>
      <t>Equipamiento de Pozo P-059-A Ojocaliente 1 ubicado en Av. Ags. Oriente Acera Este Av. Alameda C. San Jose de la Ordeña al Sur en el Fracc. Ojocaliente 1</t>
    </r>
    <r>
      <rPr>
        <b/>
        <sz val="11"/>
        <rFont val="Futura Bk BT"/>
      </rPr>
      <t>(CANCELADA)</t>
    </r>
  </si>
  <si>
    <r>
      <t xml:space="preserve">Equipamiento Eelectromecanico de Pozo P-066-A Colinas del Rio Arno Esq.Antiguo Camino a San Ignacio Fracc. Colinas del Rio </t>
    </r>
    <r>
      <rPr>
        <b/>
        <sz val="11"/>
        <rFont val="Futura Bk BT"/>
      </rPr>
      <t>(CANCELADA)</t>
    </r>
  </si>
  <si>
    <t>MAQUINARIA Y CONST. CAFA S.A. DE C.V.</t>
  </si>
  <si>
    <t>FISMDF-101-2020</t>
  </si>
  <si>
    <t>FISMDF-102-2020</t>
  </si>
  <si>
    <r>
      <t>Pavimento Hidraulico C. Wolfgang Amadeus Mozart C. J. Sebastian Bach C. Niccolo Paganini Fracc. Santa Anita</t>
    </r>
    <r>
      <rPr>
        <b/>
        <sz val="11"/>
        <rFont val="Futura Bk BT"/>
      </rPr>
      <t>(CANCELADA)</t>
    </r>
  </si>
  <si>
    <t>CONSTRUCTORA ALMER S.A. DE C.V.</t>
  </si>
  <si>
    <t>FISMDF-0107-2020</t>
  </si>
  <si>
    <t>MAGS CONSTRUCCIONES S.A. DE C.V.</t>
  </si>
  <si>
    <t>FISMDF-0111-2020</t>
  </si>
  <si>
    <t>FISMDF-0116-2020</t>
  </si>
  <si>
    <t>PABLO HECTOR ZAVALA</t>
  </si>
  <si>
    <t>FISMDF-117-2020</t>
  </si>
  <si>
    <t>SJB DISEÑO EQUIPIOS Y CONST. S.A. DE C.V.</t>
  </si>
  <si>
    <t>FISMDF-0118-2020</t>
  </si>
  <si>
    <r>
      <t>Mejoramiento Escuela Telesecundaria No. 32 C Manuel M. Ponce Com. Los Negritos</t>
    </r>
    <r>
      <rPr>
        <b/>
        <sz val="11"/>
        <rFont val="Futura Bk BT"/>
      </rPr>
      <t>(CANCELADA)</t>
    </r>
  </si>
  <si>
    <r>
      <t>Mejoramiento Secundaria General No. 11 Jose Guadalupe Posada Av. Parque Via Fracc. Santa Anita</t>
    </r>
    <r>
      <rPr>
        <b/>
        <sz val="11"/>
        <rFont val="Futura Bk BT"/>
      </rPr>
      <t>(CANCELADA)</t>
    </r>
  </si>
  <si>
    <r>
      <t>Mejoramiento Escuela Primaria Ismael Collazo Garcia C. Palma Mexicana No 302 Fracc.Bajio de las Palmas</t>
    </r>
    <r>
      <rPr>
        <b/>
        <sz val="11"/>
        <rFont val="Futura Bk BT"/>
      </rPr>
      <t>(CANCELADA)</t>
    </r>
  </si>
  <si>
    <r>
      <t>Mejoramiento Jardin de Niños Ignacio Garcia Tellez C. Luis Hidalgo Monroy Fracc. Bulevares 1a Secc.</t>
    </r>
    <r>
      <rPr>
        <b/>
        <sz val="11"/>
        <rFont val="Futura Bk BT"/>
      </rPr>
      <t>(CANCELADA)</t>
    </r>
  </si>
  <si>
    <t>Construcción de 11 Techos Firmes ( Promedio 20 M2) Varios Puntos del Mpio. Ags.</t>
  </si>
  <si>
    <t>CONSTRUCTORA ROLFE S.A DE C.V.</t>
  </si>
  <si>
    <t>FISMDF-0129-2020</t>
  </si>
  <si>
    <t>MAZA INFRAESTRUCTURA S.A. DE C.V.</t>
  </si>
  <si>
    <t>FISMDF-0130-2020</t>
  </si>
  <si>
    <t>INVITACION RESTRINJIDA</t>
  </si>
  <si>
    <t>EMULSIONES ASFALTICAS S.A. DE C.V.</t>
  </si>
  <si>
    <t>FISMDF-0132-2020</t>
  </si>
  <si>
    <t>EDIFICACIONES Y PROYEC T.MARQUE S.A. DE C.V.</t>
  </si>
  <si>
    <t>FISMDF-0134-2020</t>
  </si>
  <si>
    <t>ACHER CONST. Y ABAST. ELEC. S.A. DE C.V.</t>
  </si>
  <si>
    <t>FISMDF-0138-2020</t>
  </si>
  <si>
    <t>FERNANDO DE JESUS ESPARZA</t>
  </si>
  <si>
    <t>FISMDF-0147-2020</t>
  </si>
  <si>
    <r>
      <t>Centro Deportivo Fidel Velazquez ( Cancha de Futbol Rapido Ring de Boxeo y Cubierta en Ring) Prol.Alameda</t>
    </r>
    <r>
      <rPr>
        <b/>
        <sz val="11"/>
        <rFont val="Futura Bk BT"/>
      </rPr>
      <t>(CANCELADA)</t>
    </r>
  </si>
  <si>
    <t>FISMDF-01492020</t>
  </si>
  <si>
    <t>METRICA DISEÑO Y CONST. S.A. DE C.V.</t>
  </si>
  <si>
    <t>FISMDF-0153-2020</t>
  </si>
  <si>
    <t>FONDO ARQUITECTURA S.A. DE C.V.</t>
  </si>
  <si>
    <t>FISMDF-0154-2020</t>
  </si>
  <si>
    <t>LUVI S.A. DE C.V.</t>
  </si>
  <si>
    <t>FISMDF-0155-2020</t>
  </si>
  <si>
    <t>VAGUE CONSTRUCCIONES S.A. DE C.V.</t>
  </si>
  <si>
    <t>FISMDF-0156-2020</t>
  </si>
  <si>
    <t>COHEVI CONSTRUCCIONES S.A. DE C.V.</t>
  </si>
  <si>
    <t>FISMDF-0157-2020</t>
  </si>
  <si>
    <t>GRUPO FUSION S.A. DE C.V.</t>
  </si>
  <si>
    <t>FISMDF-0158-2020</t>
  </si>
  <si>
    <t>UDICOM S.A. DE C.V.</t>
  </si>
  <si>
    <t>FISMDF-0159-2020</t>
  </si>
  <si>
    <t>FISMDF-0162-2020</t>
  </si>
  <si>
    <t>CONSTRUCTORA FLORES HNOS. S.A. DE C.V.</t>
  </si>
  <si>
    <t>FISMDF-0165-2020</t>
  </si>
  <si>
    <t>FISMDF-0166-2020</t>
  </si>
  <si>
    <t>RHV CONSTRUCCIONES S.A. DE C.V.</t>
  </si>
  <si>
    <t>FISMDF-0167-2020</t>
  </si>
  <si>
    <t>CONSTRUCTORA ROBLEDO S.A. DE C.V.</t>
  </si>
  <si>
    <t>FISMDF-0168-2020</t>
  </si>
  <si>
    <t>2020-FISMDF-0180-01342-107</t>
  </si>
  <si>
    <t>180</t>
  </si>
  <si>
    <t>Cancha de Futbol 7 en Canal Interceptor Canal Interceptor</t>
  </si>
  <si>
    <t>2020-FISMDF-0181-01340-108</t>
  </si>
  <si>
    <t>181</t>
  </si>
  <si>
    <t>Parque Constitución Primera Etapa Av. Constitución Esq. Con C. Articulo 39 Fracc. Constitución</t>
  </si>
  <si>
    <t>2020-FISMDF-0182-01342-109</t>
  </si>
  <si>
    <t>182</t>
  </si>
  <si>
    <t>Cubierta en Gradas en Campo de Beisbol Infantil Av. Gabriela Mistral Av. Parque Via Fracc.Santa Anita</t>
  </si>
  <si>
    <t>2020-FISMDF-0184-01342-110</t>
  </si>
  <si>
    <t>184</t>
  </si>
  <si>
    <t>Rehabilitación Centro Deportivo Fidel Velazquez (Cancha de Futbol Rapido) Prol. Almameda Fidel Velazquez</t>
  </si>
  <si>
    <t>2020-FISMDF-0185-01342-111</t>
  </si>
  <si>
    <t>185</t>
  </si>
  <si>
    <t>Rehabilitación Parque RecreativoVNSA Sector Alameda</t>
  </si>
  <si>
    <t>2020-FISMDF-0186-01011-112</t>
  </si>
  <si>
    <t>186</t>
  </si>
  <si>
    <t>Linea de Conducción Pozo N°180 Natura 4 a Tanque Superficial Fracc. VNSA Natura 4</t>
  </si>
  <si>
    <t>2020-FISMDF-0187-041101-113</t>
  </si>
  <si>
    <t>187</t>
  </si>
  <si>
    <t>Pavimento Hidraulico C. Franz Peter Schubert C. Sebastian Bach C. Florencia Fracc. Santa Anita</t>
  </si>
  <si>
    <t>2020-FISMDF-0189-0640-114</t>
  </si>
  <si>
    <t>189</t>
  </si>
  <si>
    <t>Centro para la Integración de Adultos Mayores Etapa 02 Av. Lopez Mateos y Poder Legislativo</t>
  </si>
  <si>
    <t>2020-FISMDF-0190-1342-115</t>
  </si>
  <si>
    <t>190</t>
  </si>
  <si>
    <t>Cancha de Futbol 7 (Obra Civil) Inf. Ojo de Agua</t>
  </si>
  <si>
    <t>2020-FISMDF-0191-1342-116</t>
  </si>
  <si>
    <t>191</t>
  </si>
  <si>
    <t>Cancha de Futbol 7 (Acabados y Herreria) Inf. Ojo de Agua</t>
  </si>
  <si>
    <t>2020-FISMDF-0192-1340-117</t>
  </si>
  <si>
    <t>192</t>
  </si>
  <si>
    <t>Centro Virtual de Aprendizaje Sala de Conferencia Talleres y Areas Exteriores Parque Ex Pensión Mpal.</t>
  </si>
  <si>
    <t>2020-FISMDF-0193-1340-118</t>
  </si>
  <si>
    <t>193</t>
  </si>
  <si>
    <t>Centro Virtual de Aprendizaje Administración Consultorios y Areas Comunes Parque Ex Pensión Mpal.</t>
  </si>
  <si>
    <t>Mi Hogar Corazón de Aguascalientes ( Calentador Solar Fondo III ) T odo el Municipio de Aguascalientes</t>
  </si>
  <si>
    <t>LICITACION PUBLICA</t>
  </si>
  <si>
    <t>CONSTRUCOM INFRAESTRUCTURA S.A. DE C.V.</t>
  </si>
  <si>
    <t>AD-072-2020</t>
  </si>
  <si>
    <t>2020-FISMDF-0173-001-1137-100</t>
  </si>
  <si>
    <t>Gastos Indirectos (Adquisiciones) Todo el Mpio.de Aguascalientes(MODIFICADO)</t>
  </si>
  <si>
    <t>2020-FISMDF-0194-1137-119</t>
  </si>
  <si>
    <t>194</t>
  </si>
  <si>
    <t>Gastos Indirectos (Supervición Externa) Mpio. De Ags.</t>
  </si>
  <si>
    <t>2020-FISMDF-0196-1137-121</t>
  </si>
  <si>
    <t>196</t>
  </si>
  <si>
    <t>Gastos Indirectos (Agentes de Bienestar Microregional) Todo el Mpio.de Aguascalientes</t>
  </si>
  <si>
    <t>Nota: Diferencia $1,131.00 Intereses Bancarios</t>
  </si>
  <si>
    <t>DEPARTAMENTO DE CONTROL PRESUPUESTAL DE LA OBRA PÚBLICA Y PROGRAMAS FEDERALES</t>
  </si>
  <si>
    <t>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</si>
</sst>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omic Sans MS"/>
      <family val="4"/>
    </font>
    <font>
      <b/>
      <sz val="14"/>
      <color indexed="9"/>
      <name val="Calibri"/>
      <family val="2"/>
    </font>
    <font>
      <sz val="10"/>
      <name val="Comic Sans MS"/>
      <family val="4"/>
    </font>
    <font>
      <sz val="11"/>
      <color theme="1"/>
      <name val="Futura Bk BT"/>
    </font>
    <font>
      <b/>
      <sz val="11"/>
      <color theme="1"/>
      <name val="Futura Bk BT"/>
    </font>
    <font>
      <b/>
      <sz val="10"/>
      <color theme="1"/>
      <name val="Futura Bk BT"/>
    </font>
    <font>
      <sz val="8"/>
      <name val="Futura Bk BT"/>
    </font>
    <font>
      <sz val="8"/>
      <name val="Comic Sans MS"/>
      <family val="4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theme="1"/>
      <name val="Futura Bk BT"/>
    </font>
    <font>
      <sz val="14"/>
      <color theme="1"/>
      <name val="Calibri"/>
      <family val="2"/>
      <scheme val="minor"/>
    </font>
    <font>
      <sz val="16"/>
      <color theme="1"/>
      <name val="Futura Bk BT"/>
    </font>
    <font>
      <b/>
      <sz val="20"/>
      <color indexed="9"/>
      <name val="Calibri Light"/>
      <family val="2"/>
      <scheme val="maj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sz val="12"/>
      <color theme="1"/>
      <name val="Futura Bk BT"/>
    </font>
    <font>
      <sz val="18"/>
      <color theme="1"/>
      <name val="Futura Bk BT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sz val="20"/>
      <color theme="1"/>
      <name val="Futura Bk BT"/>
    </font>
    <font>
      <b/>
      <sz val="11"/>
      <name val="Futura Bk BT"/>
      <family val="2"/>
    </font>
    <font>
      <sz val="11"/>
      <name val="Futura Hv BT"/>
      <family val="2"/>
    </font>
    <font>
      <b/>
      <i/>
      <sz val="11"/>
      <color indexed="9"/>
      <name val="Futura Hv BT"/>
      <family val="2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b/>
      <sz val="10"/>
      <name val="Futura BdCn BT"/>
      <family val="2"/>
    </font>
    <font>
      <b/>
      <sz val="10"/>
      <name val="Futura BdCn BT"/>
    </font>
    <font>
      <sz val="10"/>
      <name val="NewsGoth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Futura Bk BT"/>
      <family val="2"/>
    </font>
    <font>
      <sz val="8"/>
      <name val="Futura Bk BT"/>
      <family val="2"/>
    </font>
    <font>
      <sz val="11"/>
      <name val="Futura BdCn BT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theme="1"/>
      <name val="Calibri"/>
      <family val="2"/>
      <scheme val="minor"/>
    </font>
    <font>
      <sz val="14"/>
      <color theme="1"/>
      <name val="Futura Bk BT"/>
    </font>
    <font>
      <b/>
      <i/>
      <sz val="12"/>
      <color indexed="9"/>
      <name val="Futura Hv BT"/>
      <family val="2"/>
    </font>
    <font>
      <b/>
      <sz val="10"/>
      <name val="Futura Bk BT"/>
    </font>
    <font>
      <b/>
      <sz val="10"/>
      <name val="Futura Bk BT"/>
      <family val="2"/>
    </font>
    <font>
      <b/>
      <i/>
      <sz val="10"/>
      <name val="Futura Bk BT"/>
      <family val="2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Futura Bk BT"/>
    </font>
    <font>
      <b/>
      <sz val="22"/>
      <color indexed="9"/>
      <name val="Calibri Light"/>
      <family val="2"/>
      <scheme val="major"/>
    </font>
    <font>
      <b/>
      <sz val="8"/>
      <name val="Futura Hv BT"/>
      <family val="2"/>
    </font>
    <font>
      <sz val="11"/>
      <color indexed="8"/>
      <name val="Calibri"/>
      <family val="2"/>
      <scheme val="minor"/>
    </font>
    <font>
      <b/>
      <sz val="11"/>
      <name val="Futura Bk BT"/>
    </font>
    <font>
      <b/>
      <sz val="20"/>
      <color theme="0"/>
      <name val="Calibri Light"/>
      <family val="2"/>
      <scheme val="maj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ck">
        <color indexed="9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/>
  </cellStyleXfs>
  <cellXfs count="430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0" fontId="0" fillId="3" borderId="0" xfId="0" applyFill="1"/>
    <xf numFmtId="44" fontId="0" fillId="0" borderId="0" xfId="2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3" fontId="0" fillId="0" borderId="0" xfId="0" applyNumberForma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0" fontId="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8" fillId="0" borderId="0" xfId="1" applyFont="1" applyAlignment="1"/>
    <xf numFmtId="43" fontId="8" fillId="0" borderId="0" xfId="1" applyFont="1" applyAlignment="1">
      <alignment wrapText="1"/>
    </xf>
    <xf numFmtId="3" fontId="0" fillId="0" borderId="0" xfId="0" applyNumberForma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Fill="1"/>
    <xf numFmtId="0" fontId="0" fillId="0" borderId="0" xfId="0" applyFont="1"/>
    <xf numFmtId="0" fontId="15" fillId="0" borderId="0" xfId="0" applyFont="1"/>
    <xf numFmtId="43" fontId="15" fillId="0" borderId="0" xfId="1" applyFont="1"/>
    <xf numFmtId="165" fontId="14" fillId="0" borderId="0" xfId="2" applyNumberFormat="1" applyFont="1" applyBorder="1" applyAlignment="1"/>
    <xf numFmtId="0" fontId="14" fillId="0" borderId="0" xfId="0" applyFont="1" applyAlignment="1"/>
    <xf numFmtId="3" fontId="20" fillId="0" borderId="8" xfId="1" applyNumberFormat="1" applyFont="1" applyFill="1" applyBorder="1" applyAlignment="1">
      <alignment vertical="center"/>
    </xf>
    <xf numFmtId="0" fontId="21" fillId="6" borderId="4" xfId="0" applyFont="1" applyFill="1" applyBorder="1" applyAlignment="1">
      <alignment horizontal="center" vertical="center"/>
    </xf>
    <xf numFmtId="43" fontId="21" fillId="7" borderId="4" xfId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3" fontId="20" fillId="0" borderId="10" xfId="1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3" fontId="21" fillId="0" borderId="0" xfId="1" applyNumberFormat="1" applyFont="1" applyFill="1" applyBorder="1"/>
    <xf numFmtId="3" fontId="21" fillId="0" borderId="0" xfId="1" applyNumberFormat="1" applyFont="1" applyBorder="1"/>
    <xf numFmtId="43" fontId="19" fillId="0" borderId="0" xfId="1" applyFont="1"/>
    <xf numFmtId="43" fontId="19" fillId="0" borderId="0" xfId="0" applyNumberFormat="1" applyFont="1"/>
    <xf numFmtId="0" fontId="19" fillId="0" borderId="0" xfId="0" applyFont="1"/>
    <xf numFmtId="0" fontId="0" fillId="0" borderId="0" xfId="0" applyFill="1" applyBorder="1"/>
    <xf numFmtId="43" fontId="15" fillId="0" borderId="0" xfId="0" applyNumberFormat="1" applyFont="1"/>
    <xf numFmtId="0" fontId="27" fillId="0" borderId="0" xfId="3" applyFont="1" applyAlignment="1">
      <alignment vertical="center"/>
    </xf>
    <xf numFmtId="0" fontId="27" fillId="0" borderId="0" xfId="3" applyFont="1" applyFill="1" applyAlignment="1">
      <alignment vertical="center"/>
    </xf>
    <xf numFmtId="0" fontId="27" fillId="0" borderId="0" xfId="3" applyFont="1"/>
    <xf numFmtId="0" fontId="27" fillId="0" borderId="0" xfId="0" applyFont="1"/>
    <xf numFmtId="0" fontId="1" fillId="0" borderId="0" xfId="0" applyFont="1"/>
    <xf numFmtId="0" fontId="29" fillId="0" borderId="0" xfId="3" applyFont="1"/>
    <xf numFmtId="0" fontId="17" fillId="0" borderId="8" xfId="0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3" fontId="26" fillId="0" borderId="8" xfId="4" applyNumberFormat="1" applyFont="1" applyFill="1" applyBorder="1" applyAlignment="1">
      <alignment vertical="center"/>
    </xf>
    <xf numFmtId="40" fontId="17" fillId="0" borderId="8" xfId="4" applyNumberFormat="1" applyFont="1" applyFill="1" applyBorder="1" applyAlignment="1">
      <alignment vertical="center"/>
    </xf>
    <xf numFmtId="10" fontId="17" fillId="0" borderId="8" xfId="5" applyNumberFormat="1" applyFont="1" applyFill="1" applyBorder="1" applyAlignment="1">
      <alignment horizontal="center" vertical="center"/>
    </xf>
    <xf numFmtId="2" fontId="17" fillId="0" borderId="8" xfId="5" applyNumberFormat="1" applyFont="1" applyFill="1" applyBorder="1" applyAlignment="1">
      <alignment horizontal="center" vertical="center"/>
    </xf>
    <xf numFmtId="3" fontId="17" fillId="0" borderId="8" xfId="5" applyNumberFormat="1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 wrapText="1"/>
    </xf>
    <xf numFmtId="0" fontId="29" fillId="0" borderId="0" xfId="3" applyFont="1" applyAlignment="1">
      <alignment vertical="center"/>
    </xf>
    <xf numFmtId="0" fontId="29" fillId="0" borderId="0" xfId="3" applyFont="1" applyFill="1" applyAlignment="1">
      <alignment vertical="center"/>
    </xf>
    <xf numFmtId="0" fontId="29" fillId="0" borderId="0" xfId="3" applyFont="1" applyAlignment="1">
      <alignment horizontal="center"/>
    </xf>
    <xf numFmtId="0" fontId="17" fillId="0" borderId="0" xfId="3" applyFont="1" applyBorder="1" applyAlignment="1">
      <alignment horizontal="center"/>
    </xf>
    <xf numFmtId="0" fontId="29" fillId="0" borderId="0" xfId="0" applyFont="1"/>
    <xf numFmtId="2" fontId="29" fillId="0" borderId="0" xfId="5" applyNumberFormat="1" applyFont="1" applyFill="1" applyBorder="1" applyAlignment="1">
      <alignment vertical="center"/>
    </xf>
    <xf numFmtId="0" fontId="29" fillId="0" borderId="0" xfId="3" applyFont="1" applyFill="1"/>
    <xf numFmtId="3" fontId="29" fillId="0" borderId="0" xfId="3" applyNumberFormat="1" applyFont="1"/>
    <xf numFmtId="40" fontId="29" fillId="0" borderId="0" xfId="3" applyNumberFormat="1" applyFont="1"/>
    <xf numFmtId="0" fontId="26" fillId="0" borderId="0" xfId="3" applyFont="1" applyAlignment="1">
      <alignment horizontal="left"/>
    </xf>
    <xf numFmtId="0" fontId="1" fillId="0" borderId="0" xfId="0" applyFont="1" applyAlignment="1">
      <alignment wrapText="1"/>
    </xf>
    <xf numFmtId="9" fontId="17" fillId="0" borderId="8" xfId="5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top"/>
    </xf>
    <xf numFmtId="43" fontId="19" fillId="0" borderId="0" xfId="0" applyNumberFormat="1" applyFont="1" applyAlignment="1">
      <alignment vertical="top"/>
    </xf>
    <xf numFmtId="43" fontId="19" fillId="0" borderId="0" xfId="1" applyFont="1" applyAlignment="1">
      <alignment vertical="top"/>
    </xf>
    <xf numFmtId="3" fontId="17" fillId="0" borderId="0" xfId="3" applyNumberFormat="1" applyFont="1" applyFill="1" applyBorder="1" applyAlignment="1">
      <alignment horizontal="center" vertical="center" wrapText="1"/>
    </xf>
    <xf numFmtId="164" fontId="21" fillId="0" borderId="22" xfId="1" applyNumberFormat="1" applyFont="1" applyFill="1" applyBorder="1" applyAlignment="1">
      <alignment vertical="center"/>
    </xf>
    <xf numFmtId="43" fontId="14" fillId="0" borderId="0" xfId="1" applyFont="1"/>
    <xf numFmtId="43" fontId="14" fillId="0" borderId="0" xfId="1" applyFont="1" applyAlignment="1">
      <alignment horizontal="center" vertical="center"/>
    </xf>
    <xf numFmtId="164" fontId="20" fillId="0" borderId="8" xfId="1" applyNumberFormat="1" applyFont="1" applyFill="1" applyBorder="1" applyAlignment="1">
      <alignment vertical="center"/>
    </xf>
    <xf numFmtId="3" fontId="21" fillId="0" borderId="21" xfId="1" applyNumberFormat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164" fontId="21" fillId="0" borderId="0" xfId="1" applyNumberFormat="1" applyFont="1" applyFill="1" applyBorder="1" applyAlignment="1">
      <alignment vertical="center"/>
    </xf>
    <xf numFmtId="8" fontId="0" fillId="0" borderId="0" xfId="0" applyNumberFormat="1"/>
    <xf numFmtId="3" fontId="21" fillId="0" borderId="21" xfId="1" applyNumberFormat="1" applyFont="1" applyFill="1" applyBorder="1" applyAlignment="1">
      <alignment vertical="center"/>
    </xf>
    <xf numFmtId="165" fontId="14" fillId="0" borderId="0" xfId="2" applyNumberFormat="1" applyFont="1" applyFill="1" applyBorder="1" applyAlignment="1"/>
    <xf numFmtId="164" fontId="20" fillId="0" borderId="10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21" fillId="0" borderId="8" xfId="1" applyNumberFormat="1" applyFont="1" applyBorder="1" applyAlignment="1">
      <alignment horizontal="center"/>
    </xf>
    <xf numFmtId="3" fontId="21" fillId="0" borderId="0" xfId="1" applyNumberFormat="1" applyFont="1" applyFill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21" fillId="0" borderId="0" xfId="1" applyNumberFormat="1" applyFont="1" applyBorder="1" applyAlignment="1">
      <alignment horizontal="center"/>
    </xf>
    <xf numFmtId="0" fontId="20" fillId="0" borderId="8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1" applyNumberFormat="1" applyFont="1" applyBorder="1" applyAlignment="1">
      <alignment horizontal="center"/>
    </xf>
    <xf numFmtId="3" fontId="21" fillId="0" borderId="8" xfId="1" applyNumberFormat="1" applyFont="1" applyFill="1" applyBorder="1"/>
    <xf numFmtId="3" fontId="21" fillId="0" borderId="8" xfId="1" applyNumberFormat="1" applyFont="1" applyBorder="1"/>
    <xf numFmtId="3" fontId="21" fillId="0" borderId="0" xfId="1" applyNumberFormat="1" applyFont="1" applyFill="1" applyBorder="1" applyAlignment="1">
      <alignment horizontal="right"/>
    </xf>
    <xf numFmtId="164" fontId="21" fillId="0" borderId="24" xfId="0" applyNumberFormat="1" applyFont="1" applyBorder="1"/>
    <xf numFmtId="3" fontId="21" fillId="0" borderId="8" xfId="0" applyNumberFormat="1" applyFont="1" applyBorder="1"/>
    <xf numFmtId="164" fontId="21" fillId="0" borderId="8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43" fontId="20" fillId="0" borderId="0" xfId="1" applyFont="1" applyFill="1" applyBorder="1" applyAlignment="1">
      <alignment horizontal="right"/>
    </xf>
    <xf numFmtId="43" fontId="29" fillId="0" borderId="0" xfId="6" applyFont="1"/>
    <xf numFmtId="0" fontId="31" fillId="0" borderId="0" xfId="3" applyFont="1"/>
    <xf numFmtId="43" fontId="21" fillId="7" borderId="6" xfId="1" applyFont="1" applyFill="1" applyBorder="1" applyAlignment="1">
      <alignment horizontal="center" vertical="center" wrapText="1"/>
    </xf>
    <xf numFmtId="43" fontId="21" fillId="7" borderId="14" xfId="1" applyFont="1" applyFill="1" applyBorder="1" applyAlignment="1">
      <alignment horizontal="center" vertical="top"/>
    </xf>
    <xf numFmtId="43" fontId="14" fillId="0" borderId="0" xfId="0" applyNumberFormat="1" applyFont="1" applyFill="1" applyAlignment="1">
      <alignment wrapText="1"/>
    </xf>
    <xf numFmtId="0" fontId="20" fillId="0" borderId="18" xfId="0" applyFont="1" applyFill="1" applyBorder="1" applyAlignment="1">
      <alignment vertical="center"/>
    </xf>
    <xf numFmtId="3" fontId="20" fillId="0" borderId="19" xfId="1" applyNumberFormat="1" applyFont="1" applyFill="1" applyBorder="1" applyAlignment="1">
      <alignment vertical="center"/>
    </xf>
    <xf numFmtId="164" fontId="20" fillId="0" borderId="19" xfId="1" applyNumberFormat="1" applyFont="1" applyFill="1" applyBorder="1" applyAlignment="1">
      <alignment vertical="center"/>
    </xf>
    <xf numFmtId="3" fontId="29" fillId="0" borderId="0" xfId="3" applyNumberFormat="1" applyFont="1" applyFill="1"/>
    <xf numFmtId="0" fontId="1" fillId="0" borderId="0" xfId="0" applyFont="1" applyFill="1"/>
    <xf numFmtId="0" fontId="34" fillId="0" borderId="0" xfId="3" applyFont="1"/>
    <xf numFmtId="0" fontId="35" fillId="0" borderId="0" xfId="0" applyFont="1"/>
    <xf numFmtId="3" fontId="17" fillId="0" borderId="25" xfId="5" applyNumberFormat="1" applyFont="1" applyFill="1" applyBorder="1" applyAlignment="1">
      <alignment horizontal="center" vertical="center"/>
    </xf>
    <xf numFmtId="3" fontId="17" fillId="0" borderId="27" xfId="3" applyNumberFormat="1" applyFont="1" applyFill="1" applyBorder="1" applyAlignment="1">
      <alignment horizontal="center" vertical="center" wrapText="1"/>
    </xf>
    <xf numFmtId="0" fontId="1" fillId="0" borderId="27" xfId="0" applyFont="1" applyBorder="1"/>
    <xf numFmtId="0" fontId="1" fillId="0" borderId="0" xfId="0" applyFont="1" applyBorder="1"/>
    <xf numFmtId="43" fontId="36" fillId="0" borderId="0" xfId="1" applyFont="1"/>
    <xf numFmtId="0" fontId="29" fillId="0" borderId="0" xfId="0" applyFont="1" applyBorder="1"/>
    <xf numFmtId="0" fontId="27" fillId="0" borderId="0" xfId="3" applyFont="1" applyBorder="1" applyAlignment="1">
      <alignment horizontal="center"/>
    </xf>
    <xf numFmtId="0" fontId="32" fillId="5" borderId="32" xfId="3" applyFont="1" applyFill="1" applyBorder="1" applyAlignment="1">
      <alignment horizontal="center" vertical="center" wrapText="1"/>
    </xf>
    <xf numFmtId="0" fontId="32" fillId="5" borderId="33" xfId="3" applyFont="1" applyFill="1" applyBorder="1" applyAlignment="1">
      <alignment horizontal="center" vertical="center" wrapText="1"/>
    </xf>
    <xf numFmtId="0" fontId="33" fillId="4" borderId="33" xfId="3" applyFont="1" applyFill="1" applyBorder="1" applyAlignment="1">
      <alignment horizontal="center" vertical="center" wrapText="1"/>
    </xf>
    <xf numFmtId="3" fontId="32" fillId="11" borderId="33" xfId="3" applyNumberFormat="1" applyFont="1" applyFill="1" applyBorder="1" applyAlignment="1">
      <alignment horizontal="center" vertical="center" wrapText="1"/>
    </xf>
    <xf numFmtId="3" fontId="32" fillId="5" borderId="33" xfId="3" applyNumberFormat="1" applyFont="1" applyFill="1" applyBorder="1" applyAlignment="1">
      <alignment horizontal="center" vertical="center" wrapText="1"/>
    </xf>
    <xf numFmtId="40" fontId="32" fillId="5" borderId="33" xfId="3" applyNumberFormat="1" applyFont="1" applyFill="1" applyBorder="1" applyAlignment="1">
      <alignment horizontal="center" vertical="center" wrapText="1"/>
    </xf>
    <xf numFmtId="0" fontId="32" fillId="5" borderId="36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5" fontId="17" fillId="0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justify" vertical="center" wrapText="1"/>
    </xf>
    <xf numFmtId="3" fontId="26" fillId="0" borderId="19" xfId="4" applyNumberFormat="1" applyFont="1" applyFill="1" applyBorder="1" applyAlignment="1">
      <alignment vertical="center"/>
    </xf>
    <xf numFmtId="3" fontId="17" fillId="0" borderId="19" xfId="4" applyNumberFormat="1" applyFont="1" applyFill="1" applyBorder="1" applyAlignment="1">
      <alignment vertical="center"/>
    </xf>
    <xf numFmtId="40" fontId="17" fillId="0" borderId="19" xfId="4" applyNumberFormat="1" applyFont="1" applyFill="1" applyBorder="1" applyAlignment="1">
      <alignment vertical="center"/>
    </xf>
    <xf numFmtId="4" fontId="17" fillId="0" borderId="19" xfId="4" applyNumberFormat="1" applyFont="1" applyFill="1" applyBorder="1" applyAlignment="1">
      <alignment horizontal="center" vertical="center"/>
    </xf>
    <xf numFmtId="9" fontId="17" fillId="0" borderId="19" xfId="5" applyNumberFormat="1" applyFont="1" applyFill="1" applyBorder="1" applyAlignment="1">
      <alignment horizontal="center" vertical="center"/>
    </xf>
    <xf numFmtId="10" fontId="17" fillId="0" borderId="19" xfId="5" applyNumberFormat="1" applyFont="1" applyFill="1" applyBorder="1" applyAlignment="1">
      <alignment horizontal="center" vertical="center"/>
    </xf>
    <xf numFmtId="2" fontId="17" fillId="0" borderId="19" xfId="5" applyNumberFormat="1" applyFont="1" applyFill="1" applyBorder="1" applyAlignment="1">
      <alignment horizontal="center" vertical="center"/>
    </xf>
    <xf numFmtId="3" fontId="17" fillId="0" borderId="19" xfId="5" applyNumberFormat="1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 wrapText="1"/>
    </xf>
    <xf numFmtId="0" fontId="17" fillId="0" borderId="19" xfId="3" applyFont="1" applyFill="1" applyBorder="1" applyAlignment="1">
      <alignment horizontal="center" vertical="center" wrapText="1"/>
    </xf>
    <xf numFmtId="164" fontId="20" fillId="0" borderId="26" xfId="1" applyNumberFormat="1" applyFont="1" applyFill="1" applyBorder="1" applyAlignment="1">
      <alignment vertical="center"/>
    </xf>
    <xf numFmtId="0" fontId="17" fillId="12" borderId="8" xfId="7" applyFont="1" applyFill="1" applyBorder="1" applyAlignment="1">
      <alignment horizontal="justify" vertical="center" wrapText="1"/>
    </xf>
    <xf numFmtId="14" fontId="39" fillId="0" borderId="8" xfId="3" applyNumberFormat="1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3" fontId="37" fillId="0" borderId="8" xfId="4" applyNumberFormat="1" applyFont="1" applyFill="1" applyBorder="1" applyAlignment="1">
      <alignment vertical="center"/>
    </xf>
    <xf numFmtId="2" fontId="38" fillId="0" borderId="8" xfId="5" applyNumberFormat="1" applyFont="1" applyFill="1" applyBorder="1" applyAlignment="1">
      <alignment horizontal="center" vertical="center"/>
    </xf>
    <xf numFmtId="165" fontId="0" fillId="0" borderId="0" xfId="2" applyNumberFormat="1" applyFont="1" applyBorder="1" applyAlignment="1"/>
    <xf numFmtId="0" fontId="43" fillId="0" borderId="0" xfId="0" applyFont="1" applyFill="1" applyAlignment="1">
      <alignment vertical="top" wrapText="1"/>
    </xf>
    <xf numFmtId="1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 wrapText="1"/>
    </xf>
    <xf numFmtId="3" fontId="26" fillId="0" borderId="0" xfId="4" applyNumberFormat="1" applyFont="1" applyFill="1" applyBorder="1" applyAlignment="1">
      <alignment vertical="center"/>
    </xf>
    <xf numFmtId="10" fontId="17" fillId="0" borderId="0" xfId="5" applyNumberFormat="1" applyFont="1" applyFill="1" applyBorder="1" applyAlignment="1">
      <alignment horizontal="center" vertical="center"/>
    </xf>
    <xf numFmtId="2" fontId="17" fillId="0" borderId="0" xfId="5" applyNumberFormat="1" applyFont="1" applyFill="1" applyBorder="1" applyAlignment="1">
      <alignment horizontal="center" vertical="center"/>
    </xf>
    <xf numFmtId="3" fontId="17" fillId="0" borderId="0" xfId="4" applyNumberFormat="1" applyFont="1" applyFill="1" applyBorder="1" applyAlignment="1">
      <alignment vertical="center"/>
    </xf>
    <xf numFmtId="40" fontId="17" fillId="0" borderId="0" xfId="4" applyNumberFormat="1" applyFont="1" applyFill="1" applyBorder="1" applyAlignment="1">
      <alignment vertical="center"/>
    </xf>
    <xf numFmtId="4" fontId="17" fillId="0" borderId="0" xfId="4" applyNumberFormat="1" applyFont="1" applyFill="1" applyBorder="1" applyAlignment="1">
      <alignment horizontal="center" vertical="center"/>
    </xf>
    <xf numFmtId="9" fontId="17" fillId="0" borderId="0" xfId="5" applyNumberFormat="1" applyFont="1" applyFill="1" applyBorder="1" applyAlignment="1">
      <alignment horizontal="center" vertical="center"/>
    </xf>
    <xf numFmtId="3" fontId="17" fillId="0" borderId="0" xfId="5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0" fontId="30" fillId="5" borderId="39" xfId="3" applyFont="1" applyFill="1" applyBorder="1" applyAlignment="1">
      <alignment horizontal="center" vertical="center"/>
    </xf>
    <xf numFmtId="3" fontId="26" fillId="11" borderId="38" xfId="4" applyNumberFormat="1" applyFont="1" applyFill="1" applyBorder="1" applyAlignment="1">
      <alignment vertical="center"/>
    </xf>
    <xf numFmtId="43" fontId="0" fillId="0" borderId="0" xfId="1" applyFont="1" applyFill="1"/>
    <xf numFmtId="0" fontId="17" fillId="0" borderId="40" xfId="0" applyFont="1" applyFill="1" applyBorder="1" applyAlignment="1">
      <alignment horizontal="center" vertical="center" wrapText="1"/>
    </xf>
    <xf numFmtId="14" fontId="39" fillId="0" borderId="41" xfId="3" applyNumberFormat="1" applyFont="1" applyFill="1" applyBorder="1" applyAlignment="1">
      <alignment horizontal="center" vertical="center" wrapText="1"/>
    </xf>
    <xf numFmtId="0" fontId="39" fillId="0" borderId="41" xfId="3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7" fillId="12" borderId="41" xfId="7" applyFont="1" applyFill="1" applyBorder="1" applyAlignment="1">
      <alignment horizontal="justify" vertical="center" wrapText="1"/>
    </xf>
    <xf numFmtId="3" fontId="26" fillId="0" borderId="25" xfId="4" applyNumberFormat="1" applyFont="1" applyFill="1" applyBorder="1" applyAlignment="1">
      <alignment vertical="center"/>
    </xf>
    <xf numFmtId="3" fontId="37" fillId="0" borderId="41" xfId="4" applyNumberFormat="1" applyFont="1" applyFill="1" applyBorder="1" applyAlignment="1">
      <alignment vertical="center"/>
    </xf>
    <xf numFmtId="40" fontId="17" fillId="0" borderId="25" xfId="4" applyNumberFormat="1" applyFont="1" applyFill="1" applyBorder="1" applyAlignment="1">
      <alignment vertical="center"/>
    </xf>
    <xf numFmtId="2" fontId="38" fillId="0" borderId="41" xfId="5" applyNumberFormat="1" applyFont="1" applyFill="1" applyBorder="1" applyAlignment="1">
      <alignment horizontal="center" vertical="center"/>
    </xf>
    <xf numFmtId="9" fontId="17" fillId="0" borderId="25" xfId="5" applyNumberFormat="1" applyFont="1" applyFill="1" applyBorder="1" applyAlignment="1">
      <alignment horizontal="center" vertical="center"/>
    </xf>
    <xf numFmtId="10" fontId="17" fillId="0" borderId="25" xfId="5" applyNumberFormat="1" applyFont="1" applyFill="1" applyBorder="1" applyAlignment="1">
      <alignment horizontal="center" vertical="center"/>
    </xf>
    <xf numFmtId="2" fontId="17" fillId="0" borderId="25" xfId="5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 wrapText="1"/>
    </xf>
    <xf numFmtId="0" fontId="17" fillId="0" borderId="42" xfId="3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3" fontId="44" fillId="13" borderId="37" xfId="0" applyNumberFormat="1" applyFont="1" applyFill="1" applyBorder="1" applyAlignment="1">
      <alignment horizontal="center" vertical="center"/>
    </xf>
    <xf numFmtId="3" fontId="44" fillId="13" borderId="43" xfId="0" applyNumberFormat="1" applyFont="1" applyFill="1" applyBorder="1" applyAlignment="1">
      <alignment horizontal="center" vertical="center"/>
    </xf>
    <xf numFmtId="3" fontId="44" fillId="13" borderId="38" xfId="0" applyNumberFormat="1" applyFont="1" applyFill="1" applyBorder="1" applyAlignment="1">
      <alignment horizontal="center" vertical="center"/>
    </xf>
    <xf numFmtId="0" fontId="44" fillId="13" borderId="44" xfId="0" applyFont="1" applyFill="1" applyBorder="1" applyAlignment="1">
      <alignment horizontal="center" vertical="center"/>
    </xf>
    <xf numFmtId="3" fontId="28" fillId="13" borderId="38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3" fontId="45" fillId="0" borderId="50" xfId="8" applyNumberFormat="1" applyFont="1" applyFill="1" applyBorder="1" applyAlignment="1">
      <alignment vertical="center"/>
    </xf>
    <xf numFmtId="10" fontId="37" fillId="0" borderId="0" xfId="9" applyNumberFormat="1" applyFont="1" applyFill="1" applyBorder="1" applyAlignment="1">
      <alignment vertical="center"/>
    </xf>
    <xf numFmtId="2" fontId="37" fillId="0" borderId="0" xfId="5" applyNumberFormat="1" applyFont="1" applyFill="1" applyBorder="1" applyAlignment="1">
      <alignment horizontal="center" vertical="center"/>
    </xf>
    <xf numFmtId="3" fontId="37" fillId="0" borderId="0" xfId="5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47" fillId="5" borderId="39" xfId="3" applyFont="1" applyFill="1" applyBorder="1" applyAlignment="1">
      <alignment horizontal="center" vertical="center"/>
    </xf>
    <xf numFmtId="164" fontId="46" fillId="5" borderId="38" xfId="1" applyNumberFormat="1" applyFont="1" applyFill="1" applyBorder="1" applyAlignment="1">
      <alignment vertical="center"/>
    </xf>
    <xf numFmtId="43" fontId="46" fillId="5" borderId="38" xfId="1" applyFont="1" applyFill="1" applyBorder="1" applyAlignment="1">
      <alignment vertical="center"/>
    </xf>
    <xf numFmtId="43" fontId="37" fillId="0" borderId="0" xfId="9" applyNumberFormat="1" applyFont="1" applyFill="1" applyBorder="1" applyAlignment="1">
      <alignment vertical="center"/>
    </xf>
    <xf numFmtId="43" fontId="37" fillId="0" borderId="0" xfId="5" applyNumberFormat="1" applyFont="1" applyFill="1" applyBorder="1" applyAlignment="1">
      <alignment horizontal="center" vertical="center" wrapText="1"/>
    </xf>
    <xf numFmtId="0" fontId="46" fillId="0" borderId="0" xfId="3" applyFont="1" applyAlignment="1">
      <alignment horizontal="left"/>
    </xf>
    <xf numFmtId="4" fontId="35" fillId="0" borderId="0" xfId="0" applyNumberFormat="1" applyFont="1"/>
    <xf numFmtId="43" fontId="35" fillId="0" borderId="0" xfId="0" applyNumberFormat="1" applyFont="1"/>
    <xf numFmtId="2" fontId="35" fillId="0" borderId="0" xfId="0" applyNumberFormat="1" applyFont="1"/>
    <xf numFmtId="0" fontId="47" fillId="0" borderId="0" xfId="3" applyFont="1" applyFill="1" applyBorder="1" applyAlignment="1">
      <alignment horizontal="center" vertical="center"/>
    </xf>
    <xf numFmtId="164" fontId="46" fillId="0" borderId="0" xfId="1" applyNumberFormat="1" applyFont="1" applyFill="1" applyBorder="1" applyAlignment="1">
      <alignment vertical="center"/>
    </xf>
    <xf numFmtId="43" fontId="46" fillId="0" borderId="0" xfId="1" applyFont="1" applyFill="1" applyBorder="1" applyAlignment="1">
      <alignment vertical="center"/>
    </xf>
    <xf numFmtId="43" fontId="14" fillId="0" borderId="0" xfId="0" applyNumberFormat="1" applyFont="1"/>
    <xf numFmtId="43" fontId="1" fillId="0" borderId="0" xfId="1" applyFont="1"/>
    <xf numFmtId="43" fontId="35" fillId="0" borderId="0" xfId="1" applyFont="1"/>
    <xf numFmtId="43" fontId="0" fillId="0" borderId="0" xfId="0" applyNumberFormat="1" applyFont="1"/>
    <xf numFmtId="3" fontId="14" fillId="0" borderId="0" xfId="0" applyNumberFormat="1" applyFont="1"/>
    <xf numFmtId="3" fontId="1" fillId="0" borderId="0" xfId="0" applyNumberFormat="1" applyFont="1"/>
    <xf numFmtId="0" fontId="17" fillId="0" borderId="5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0" fontId="17" fillId="0" borderId="41" xfId="4" applyNumberFormat="1" applyFont="1" applyFill="1" applyBorder="1" applyAlignment="1">
      <alignment vertical="center"/>
    </xf>
    <xf numFmtId="10" fontId="17" fillId="0" borderId="41" xfId="5" applyNumberFormat="1" applyFont="1" applyFill="1" applyBorder="1" applyAlignment="1">
      <alignment horizontal="center" vertical="center"/>
    </xf>
    <xf numFmtId="3" fontId="17" fillId="0" borderId="41" xfId="5" applyNumberFormat="1" applyFont="1" applyFill="1" applyBorder="1" applyAlignment="1">
      <alignment horizontal="center" vertical="center"/>
    </xf>
    <xf numFmtId="0" fontId="30" fillId="5" borderId="53" xfId="3" applyFont="1" applyFill="1" applyBorder="1" applyAlignment="1">
      <alignment horizontal="center" vertical="center"/>
    </xf>
    <xf numFmtId="3" fontId="26" fillId="11" borderId="54" xfId="4" applyNumberFormat="1" applyFont="1" applyFill="1" applyBorder="1" applyAlignment="1">
      <alignment vertical="center"/>
    </xf>
    <xf numFmtId="3" fontId="26" fillId="0" borderId="41" xfId="4" applyNumberFormat="1" applyFont="1" applyFill="1" applyBorder="1" applyAlignment="1">
      <alignment vertical="center"/>
    </xf>
    <xf numFmtId="9" fontId="17" fillId="0" borderId="41" xfId="5" applyNumberFormat="1" applyFont="1" applyFill="1" applyBorder="1" applyAlignment="1">
      <alignment horizontal="center" vertical="center"/>
    </xf>
    <xf numFmtId="43" fontId="49" fillId="0" borderId="0" xfId="1" applyFont="1"/>
    <xf numFmtId="3" fontId="20" fillId="12" borderId="10" xfId="1" applyNumberFormat="1" applyFont="1" applyFill="1" applyBorder="1" applyAlignment="1">
      <alignment vertical="center"/>
    </xf>
    <xf numFmtId="3" fontId="20" fillId="12" borderId="8" xfId="1" applyNumberFormat="1" applyFont="1" applyFill="1" applyBorder="1" applyAlignment="1">
      <alignment vertical="center"/>
    </xf>
    <xf numFmtId="3" fontId="20" fillId="12" borderId="19" xfId="1" applyNumberFormat="1" applyFont="1" applyFill="1" applyBorder="1" applyAlignment="1">
      <alignment vertical="center"/>
    </xf>
    <xf numFmtId="43" fontId="50" fillId="0" borderId="0" xfId="1" applyFont="1" applyBorder="1" applyAlignment="1">
      <alignment horizontal="center"/>
    </xf>
    <xf numFmtId="3" fontId="20" fillId="0" borderId="0" xfId="1" applyNumberFormat="1" applyFont="1" applyFill="1" applyBorder="1" applyAlignment="1">
      <alignment vertical="center"/>
    </xf>
    <xf numFmtId="43" fontId="13" fillId="0" borderId="0" xfId="1" applyNumberFormat="1" applyFont="1" applyBorder="1" applyAlignment="1">
      <alignment horizontal="center"/>
    </xf>
    <xf numFmtId="2" fontId="17" fillId="0" borderId="41" xfId="5" applyNumberFormat="1" applyFont="1" applyFill="1" applyBorder="1" applyAlignment="1">
      <alignment horizontal="center" vertical="center"/>
    </xf>
    <xf numFmtId="9" fontId="17" fillId="0" borderId="55" xfId="5" applyNumberFormat="1" applyFont="1" applyFill="1" applyBorder="1" applyAlignment="1">
      <alignment horizontal="center" vertical="center"/>
    </xf>
    <xf numFmtId="9" fontId="17" fillId="0" borderId="50" xfId="5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9" fillId="0" borderId="0" xfId="0" applyFont="1" applyFill="1" applyBorder="1" applyAlignment="1">
      <alignment vertical="center"/>
    </xf>
    <xf numFmtId="0" fontId="15" fillId="0" borderId="0" xfId="0" applyFont="1" applyBorder="1"/>
    <xf numFmtId="0" fontId="19" fillId="0" borderId="0" xfId="0" applyFont="1" applyBorder="1" applyAlignment="1">
      <alignment horizontal="center" vertical="top"/>
    </xf>
    <xf numFmtId="0" fontId="43" fillId="0" borderId="0" xfId="0" applyFont="1" applyFill="1" applyBorder="1" applyAlignment="1">
      <alignment vertical="top" wrapText="1"/>
    </xf>
    <xf numFmtId="0" fontId="0" fillId="0" borderId="0" xfId="0" applyBorder="1"/>
    <xf numFmtId="0" fontId="52" fillId="5" borderId="45" xfId="0" applyFont="1" applyFill="1" applyBorder="1" applyAlignment="1">
      <alignment horizontal="center" vertical="center" wrapText="1"/>
    </xf>
    <xf numFmtId="0" fontId="52" fillId="5" borderId="46" xfId="0" applyFont="1" applyFill="1" applyBorder="1" applyAlignment="1">
      <alignment horizontal="center" vertical="center" wrapText="1"/>
    </xf>
    <xf numFmtId="3" fontId="52" fillId="5" borderId="46" xfId="0" applyNumberFormat="1" applyFont="1" applyFill="1" applyBorder="1" applyAlignment="1">
      <alignment horizontal="center" vertical="center" wrapText="1"/>
    </xf>
    <xf numFmtId="0" fontId="52" fillId="5" borderId="49" xfId="0" applyFont="1" applyFill="1" applyBorder="1" applyAlignment="1">
      <alignment horizontal="center" vertical="center" wrapText="1"/>
    </xf>
    <xf numFmtId="164" fontId="46" fillId="0" borderId="0" xfId="4" applyNumberFormat="1" applyFont="1" applyFill="1" applyBorder="1" applyAlignment="1">
      <alignment vertical="center"/>
    </xf>
    <xf numFmtId="3" fontId="37" fillId="12" borderId="0" xfId="4" applyNumberFormat="1" applyFont="1" applyFill="1" applyBorder="1" applyAlignment="1">
      <alignment vertical="center"/>
    </xf>
    <xf numFmtId="3" fontId="46" fillId="0" borderId="0" xfId="8" applyNumberFormat="1" applyFont="1" applyFill="1" applyBorder="1" applyAlignment="1">
      <alignment vertical="center"/>
    </xf>
    <xf numFmtId="3" fontId="37" fillId="0" borderId="0" xfId="8" applyNumberFormat="1" applyFont="1" applyFill="1" applyBorder="1" applyAlignment="1">
      <alignment vertical="center"/>
    </xf>
    <xf numFmtId="164" fontId="37" fillId="0" borderId="0" xfId="8" applyNumberFormat="1" applyFont="1" applyFill="1" applyBorder="1" applyAlignment="1">
      <alignment horizontal="center" vertical="center"/>
    </xf>
    <xf numFmtId="4" fontId="37" fillId="0" borderId="0" xfId="8" applyNumberFormat="1" applyFont="1" applyFill="1" applyBorder="1" applyAlignment="1">
      <alignment horizontal="center" vertical="center"/>
    </xf>
    <xf numFmtId="10" fontId="37" fillId="0" borderId="0" xfId="5" applyNumberFormat="1" applyFont="1" applyFill="1" applyBorder="1" applyAlignment="1">
      <alignment horizontal="center" vertical="center" wrapText="1"/>
    </xf>
    <xf numFmtId="0" fontId="32" fillId="5" borderId="56" xfId="3" applyFont="1" applyFill="1" applyBorder="1" applyAlignment="1">
      <alignment horizontal="center" vertical="center" wrapText="1"/>
    </xf>
    <xf numFmtId="0" fontId="32" fillId="5" borderId="57" xfId="3" applyFont="1" applyFill="1" applyBorder="1" applyAlignment="1">
      <alignment horizontal="center" vertical="center" wrapText="1"/>
    </xf>
    <xf numFmtId="0" fontId="33" fillId="4" borderId="57" xfId="3" applyFont="1" applyFill="1" applyBorder="1" applyAlignment="1">
      <alignment horizontal="center" vertical="center" wrapText="1"/>
    </xf>
    <xf numFmtId="3" fontId="32" fillId="11" borderId="57" xfId="3" applyNumberFormat="1" applyFont="1" applyFill="1" applyBorder="1" applyAlignment="1">
      <alignment horizontal="center" vertical="center" wrapText="1"/>
    </xf>
    <xf numFmtId="3" fontId="32" fillId="5" borderId="57" xfId="3" applyNumberFormat="1" applyFont="1" applyFill="1" applyBorder="1" applyAlignment="1">
      <alignment horizontal="center" vertical="center" wrapText="1"/>
    </xf>
    <xf numFmtId="40" fontId="32" fillId="5" borderId="57" xfId="3" applyNumberFormat="1" applyFont="1" applyFill="1" applyBorder="1" applyAlignment="1">
      <alignment horizontal="center" vertical="center" wrapText="1"/>
    </xf>
    <xf numFmtId="0" fontId="32" fillId="5" borderId="60" xfId="3" applyFont="1" applyFill="1" applyBorder="1" applyAlignment="1">
      <alignment horizontal="center" vertical="center" wrapText="1"/>
    </xf>
    <xf numFmtId="165" fontId="14" fillId="0" borderId="0" xfId="0" applyNumberFormat="1" applyFont="1"/>
    <xf numFmtId="0" fontId="32" fillId="5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5" borderId="3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justify" vertical="center" wrapText="1"/>
    </xf>
    <xf numFmtId="15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center"/>
    </xf>
    <xf numFmtId="3" fontId="26" fillId="0" borderId="10" xfId="4" applyNumberFormat="1" applyFont="1" applyFill="1" applyBorder="1" applyAlignment="1">
      <alignment vertical="center"/>
    </xf>
    <xf numFmtId="3" fontId="17" fillId="0" borderId="10" xfId="4" applyNumberFormat="1" applyFont="1" applyFill="1" applyBorder="1" applyAlignment="1">
      <alignment vertical="center"/>
    </xf>
    <xf numFmtId="40" fontId="17" fillId="0" borderId="10" xfId="4" applyNumberFormat="1" applyFont="1" applyFill="1" applyBorder="1" applyAlignment="1">
      <alignment vertical="center"/>
    </xf>
    <xf numFmtId="4" fontId="17" fillId="0" borderId="10" xfId="4" applyNumberFormat="1" applyFont="1" applyFill="1" applyBorder="1" applyAlignment="1">
      <alignment horizontal="center" vertical="center"/>
    </xf>
    <xf numFmtId="9" fontId="17" fillId="0" borderId="10" xfId="5" applyNumberFormat="1" applyFont="1" applyFill="1" applyBorder="1" applyAlignment="1">
      <alignment horizontal="center" vertical="center"/>
    </xf>
    <xf numFmtId="10" fontId="17" fillId="0" borderId="10" xfId="5" applyNumberFormat="1" applyFont="1" applyFill="1" applyBorder="1" applyAlignment="1">
      <alignment horizontal="center" vertical="center"/>
    </xf>
    <xf numFmtId="2" fontId="17" fillId="0" borderId="10" xfId="5" applyNumberFormat="1" applyFont="1" applyFill="1" applyBorder="1" applyAlignment="1">
      <alignment horizontal="center" vertical="center"/>
    </xf>
    <xf numFmtId="3" fontId="17" fillId="0" borderId="10" xfId="5" applyNumberFormat="1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15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justify" vertical="center" wrapText="1"/>
    </xf>
    <xf numFmtId="3" fontId="17" fillId="0" borderId="8" xfId="4" applyNumberFormat="1" applyFont="1" applyFill="1" applyBorder="1" applyAlignment="1">
      <alignment vertical="center"/>
    </xf>
    <xf numFmtId="4" fontId="17" fillId="0" borderId="8" xfId="4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justify" vertical="center"/>
    </xf>
    <xf numFmtId="4" fontId="0" fillId="0" borderId="0" xfId="0" applyNumberFormat="1"/>
    <xf numFmtId="0" fontId="29" fillId="15" borderId="0" xfId="3" applyFont="1" applyFill="1"/>
    <xf numFmtId="43" fontId="29" fillId="15" borderId="0" xfId="6" applyFont="1" applyFill="1"/>
    <xf numFmtId="0" fontId="31" fillId="12" borderId="0" xfId="3" applyFont="1" applyFill="1"/>
    <xf numFmtId="0" fontId="0" fillId="0" borderId="0" xfId="0" applyNumberFormat="1"/>
    <xf numFmtId="0" fontId="48" fillId="0" borderId="0" xfId="0" applyFont="1" applyFill="1" applyAlignment="1">
      <alignment vertical="top"/>
    </xf>
    <xf numFmtId="0" fontId="17" fillId="0" borderId="26" xfId="0" applyFont="1" applyFill="1" applyBorder="1" applyAlignment="1">
      <alignment horizontal="center" vertical="center"/>
    </xf>
    <xf numFmtId="15" fontId="17" fillId="0" borderId="26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/>
    </xf>
    <xf numFmtId="49" fontId="17" fillId="12" borderId="26" xfId="0" applyNumberFormat="1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justify" vertical="center" wrapText="1"/>
    </xf>
    <xf numFmtId="3" fontId="26" fillId="0" borderId="26" xfId="4" applyNumberFormat="1" applyFont="1" applyFill="1" applyBorder="1" applyAlignment="1">
      <alignment vertical="center"/>
    </xf>
    <xf numFmtId="3" fontId="26" fillId="12" borderId="26" xfId="4" applyNumberFormat="1" applyFont="1" applyFill="1" applyBorder="1" applyAlignment="1">
      <alignment vertical="center"/>
    </xf>
    <xf numFmtId="3" fontId="26" fillId="0" borderId="10" xfId="8" applyNumberFormat="1" applyFont="1" applyFill="1" applyBorder="1" applyAlignment="1">
      <alignment vertical="center"/>
    </xf>
    <xf numFmtId="3" fontId="26" fillId="0" borderId="41" xfId="8" applyNumberFormat="1" applyFont="1" applyFill="1" applyBorder="1" applyAlignment="1">
      <alignment vertical="center"/>
    </xf>
    <xf numFmtId="4" fontId="17" fillId="0" borderId="26" xfId="4" applyNumberFormat="1" applyFont="1" applyFill="1" applyBorder="1" applyAlignment="1">
      <alignment horizontal="center" vertical="center"/>
    </xf>
    <xf numFmtId="10" fontId="17" fillId="0" borderId="26" xfId="9" applyNumberFormat="1" applyFont="1" applyFill="1" applyBorder="1" applyAlignment="1">
      <alignment vertical="center"/>
    </xf>
    <xf numFmtId="10" fontId="17" fillId="0" borderId="26" xfId="5" applyNumberFormat="1" applyFont="1" applyFill="1" applyBorder="1" applyAlignment="1">
      <alignment horizontal="center" vertical="center" wrapText="1"/>
    </xf>
    <xf numFmtId="2" fontId="17" fillId="0" borderId="26" xfId="5" applyNumberFormat="1" applyFont="1" applyFill="1" applyBorder="1" applyAlignment="1">
      <alignment horizontal="center" vertical="center"/>
    </xf>
    <xf numFmtId="49" fontId="17" fillId="0" borderId="26" xfId="5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justify" vertical="center" wrapText="1"/>
    </xf>
    <xf numFmtId="3" fontId="26" fillId="12" borderId="8" xfId="4" applyNumberFormat="1" applyFont="1" applyFill="1" applyBorder="1" applyAlignment="1">
      <alignment vertical="center"/>
    </xf>
    <xf numFmtId="3" fontId="26" fillId="0" borderId="8" xfId="8" applyNumberFormat="1" applyFont="1" applyFill="1" applyBorder="1" applyAlignment="1">
      <alignment vertical="center"/>
    </xf>
    <xf numFmtId="10" fontId="17" fillId="0" borderId="8" xfId="9" applyNumberFormat="1" applyFont="1" applyFill="1" applyBorder="1" applyAlignment="1">
      <alignment vertical="center"/>
    </xf>
    <xf numFmtId="10" fontId="17" fillId="0" borderId="8" xfId="5" applyNumberFormat="1" applyFont="1" applyFill="1" applyBorder="1" applyAlignment="1">
      <alignment horizontal="center" vertical="center" wrapText="1"/>
    </xf>
    <xf numFmtId="49" fontId="17" fillId="0" borderId="8" xfId="5" applyNumberFormat="1" applyFont="1" applyFill="1" applyBorder="1" applyAlignment="1">
      <alignment horizontal="center" vertical="center"/>
    </xf>
    <xf numFmtId="0" fontId="35" fillId="0" borderId="0" xfId="0" applyFont="1" applyFill="1"/>
    <xf numFmtId="43" fontId="14" fillId="0" borderId="0" xfId="0" applyNumberFormat="1" applyFont="1" applyFill="1"/>
    <xf numFmtId="164" fontId="20" fillId="0" borderId="65" xfId="1" applyNumberFormat="1" applyFont="1" applyFill="1" applyBorder="1" applyAlignment="1">
      <alignment vertical="center"/>
    </xf>
    <xf numFmtId="164" fontId="20" fillId="0" borderId="67" xfId="1" applyNumberFormat="1" applyFont="1" applyFill="1" applyBorder="1" applyAlignment="1">
      <alignment vertical="center"/>
    </xf>
    <xf numFmtId="164" fontId="20" fillId="0" borderId="63" xfId="1" applyNumberFormat="1" applyFont="1" applyFill="1" applyBorder="1" applyAlignment="1">
      <alignment vertical="center"/>
    </xf>
    <xf numFmtId="164" fontId="20" fillId="0" borderId="61" xfId="1" applyNumberFormat="1" applyFont="1" applyFill="1" applyBorder="1" applyAlignment="1">
      <alignment vertical="center"/>
    </xf>
    <xf numFmtId="164" fontId="25" fillId="0" borderId="66" xfId="1" applyNumberFormat="1" applyFont="1" applyFill="1" applyBorder="1" applyAlignment="1">
      <alignment vertical="center"/>
    </xf>
    <xf numFmtId="164" fontId="25" fillId="0" borderId="68" xfId="1" applyNumberFormat="1" applyFont="1" applyFill="1" applyBorder="1" applyAlignment="1">
      <alignment vertical="center"/>
    </xf>
    <xf numFmtId="164" fontId="25" fillId="0" borderId="64" xfId="1" applyNumberFormat="1" applyFont="1" applyFill="1" applyBorder="1" applyAlignment="1">
      <alignment vertical="center"/>
    </xf>
    <xf numFmtId="164" fontId="25" fillId="0" borderId="62" xfId="1" applyNumberFormat="1" applyFont="1" applyFill="1" applyBorder="1" applyAlignment="1">
      <alignment vertical="center"/>
    </xf>
    <xf numFmtId="164" fontId="20" fillId="0" borderId="69" xfId="1" applyNumberFormat="1" applyFont="1" applyFill="1" applyBorder="1" applyAlignment="1">
      <alignment vertical="center"/>
    </xf>
    <xf numFmtId="164" fontId="20" fillId="0" borderId="12" xfId="1" applyNumberFormat="1" applyFont="1" applyFill="1" applyBorder="1" applyAlignment="1">
      <alignment vertical="center"/>
    </xf>
    <xf numFmtId="164" fontId="20" fillId="0" borderId="70" xfId="1" applyNumberFormat="1" applyFont="1" applyFill="1" applyBorder="1" applyAlignment="1">
      <alignment vertical="center"/>
    </xf>
    <xf numFmtId="164" fontId="20" fillId="0" borderId="71" xfId="1" applyNumberFormat="1" applyFont="1" applyFill="1" applyBorder="1" applyAlignment="1">
      <alignment vertical="center"/>
    </xf>
    <xf numFmtId="43" fontId="24" fillId="0" borderId="0" xfId="1" applyFont="1" applyFill="1" applyBorder="1" applyAlignment="1">
      <alignment horizontal="center" vertical="center" wrapText="1"/>
    </xf>
    <xf numFmtId="43" fontId="24" fillId="12" borderId="0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43" fontId="21" fillId="8" borderId="4" xfId="1" applyFont="1" applyFill="1" applyBorder="1" applyAlignment="1">
      <alignment horizontal="center" vertical="center" wrapText="1"/>
    </xf>
    <xf numFmtId="43" fontId="24" fillId="4" borderId="5" xfId="1" applyFont="1" applyFill="1" applyBorder="1" applyAlignment="1">
      <alignment horizontal="center" vertical="center" wrapText="1"/>
    </xf>
    <xf numFmtId="43" fontId="24" fillId="4" borderId="6" xfId="1" applyFont="1" applyFill="1" applyBorder="1" applyAlignment="1">
      <alignment horizontal="center" vertical="center" wrapText="1"/>
    </xf>
    <xf numFmtId="43" fontId="21" fillId="7" borderId="5" xfId="1" applyFont="1" applyFill="1" applyBorder="1" applyAlignment="1">
      <alignment horizontal="center" vertical="center" wrapText="1"/>
    </xf>
    <xf numFmtId="43" fontId="21" fillId="7" borderId="6" xfId="1" applyFont="1" applyFill="1" applyBorder="1" applyAlignment="1">
      <alignment horizontal="center" vertical="center" wrapText="1"/>
    </xf>
    <xf numFmtId="43" fontId="21" fillId="10" borderId="5" xfId="1" applyFont="1" applyFill="1" applyBorder="1" applyAlignment="1">
      <alignment horizontal="center" vertical="center"/>
    </xf>
    <xf numFmtId="43" fontId="21" fillId="10" borderId="12" xfId="1" applyFont="1" applyFill="1" applyBorder="1" applyAlignment="1">
      <alignment horizontal="center" vertical="center"/>
    </xf>
    <xf numFmtId="43" fontId="21" fillId="10" borderId="6" xfId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43" fontId="22" fillId="9" borderId="5" xfId="1" applyFont="1" applyFill="1" applyBorder="1" applyAlignment="1">
      <alignment horizontal="center" vertical="center" wrapText="1"/>
    </xf>
    <xf numFmtId="43" fontId="22" fillId="9" borderId="12" xfId="1" applyFont="1" applyFill="1" applyBorder="1" applyAlignment="1">
      <alignment horizontal="center" vertical="center" wrapText="1"/>
    </xf>
    <xf numFmtId="43" fontId="22" fillId="9" borderId="6" xfId="1" applyFont="1" applyFill="1" applyBorder="1" applyAlignment="1">
      <alignment horizontal="center" vertical="center" wrapText="1"/>
    </xf>
    <xf numFmtId="43" fontId="21" fillId="7" borderId="1" xfId="1" applyFont="1" applyFill="1" applyBorder="1" applyAlignment="1">
      <alignment horizontal="center" vertical="top"/>
    </xf>
    <xf numFmtId="43" fontId="21" fillId="7" borderId="2" xfId="1" applyFont="1" applyFill="1" applyBorder="1" applyAlignment="1">
      <alignment horizontal="center" vertical="top"/>
    </xf>
    <xf numFmtId="43" fontId="21" fillId="7" borderId="3" xfId="1" applyFont="1" applyFill="1" applyBorder="1" applyAlignment="1">
      <alignment horizontal="center" vertical="top"/>
    </xf>
    <xf numFmtId="43" fontId="21" fillId="4" borderId="1" xfId="1" applyFont="1" applyFill="1" applyBorder="1" applyAlignment="1">
      <alignment horizontal="center" vertical="center" wrapText="1"/>
    </xf>
    <xf numFmtId="43" fontId="21" fillId="4" borderId="2" xfId="1" applyFont="1" applyFill="1" applyBorder="1" applyAlignment="1">
      <alignment horizontal="center" vertical="center" wrapText="1"/>
    </xf>
    <xf numFmtId="43" fontId="21" fillId="4" borderId="3" xfId="1" applyFont="1" applyFill="1" applyBorder="1" applyAlignment="1">
      <alignment horizontal="center" vertical="center" wrapText="1"/>
    </xf>
    <xf numFmtId="43" fontId="21" fillId="8" borderId="1" xfId="1" applyFont="1" applyFill="1" applyBorder="1" applyAlignment="1">
      <alignment horizontal="center" vertical="center"/>
    </xf>
    <xf numFmtId="43" fontId="21" fillId="8" borderId="2" xfId="1" applyFont="1" applyFill="1" applyBorder="1" applyAlignment="1">
      <alignment horizontal="center" vertical="center"/>
    </xf>
    <xf numFmtId="43" fontId="21" fillId="8" borderId="3" xfId="1" applyFont="1" applyFill="1" applyBorder="1" applyAlignment="1">
      <alignment horizontal="center" vertical="center"/>
    </xf>
    <xf numFmtId="43" fontId="21" fillId="7" borderId="1" xfId="1" applyFont="1" applyFill="1" applyBorder="1" applyAlignment="1">
      <alignment horizontal="center" vertical="center"/>
    </xf>
    <xf numFmtId="43" fontId="21" fillId="7" borderId="2" xfId="1" applyFont="1" applyFill="1" applyBorder="1" applyAlignment="1">
      <alignment horizontal="center" vertical="center"/>
    </xf>
    <xf numFmtId="43" fontId="21" fillId="7" borderId="3" xfId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3" fontId="13" fillId="0" borderId="0" xfId="1" applyFont="1" applyAlignment="1">
      <alignment horizontal="center" wrapText="1"/>
    </xf>
    <xf numFmtId="0" fontId="13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0" fontId="15" fillId="0" borderId="23" xfId="0" applyFont="1" applyBorder="1" applyAlignment="1">
      <alignment horizontal="center" vertical="top"/>
    </xf>
    <xf numFmtId="3" fontId="21" fillId="0" borderId="0" xfId="1" applyNumberFormat="1" applyFont="1" applyFill="1" applyBorder="1" applyAlignment="1">
      <alignment horizontal="center"/>
    </xf>
    <xf numFmtId="3" fontId="15" fillId="0" borderId="23" xfId="1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43" fontId="15" fillId="0" borderId="0" xfId="1" applyFont="1" applyAlignment="1">
      <alignment horizontal="center" vertical="top"/>
    </xf>
    <xf numFmtId="0" fontId="21" fillId="4" borderId="5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165" fontId="14" fillId="0" borderId="8" xfId="2" applyNumberFormat="1" applyFont="1" applyFill="1" applyBorder="1" applyAlignment="1">
      <alignment horizontal="center"/>
    </xf>
    <xf numFmtId="165" fontId="14" fillId="0" borderId="1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4" fillId="0" borderId="10" xfId="2" applyNumberFormat="1" applyFont="1" applyFill="1" applyBorder="1" applyAlignment="1">
      <alignment horizontal="center"/>
    </xf>
    <xf numFmtId="165" fontId="14" fillId="0" borderId="11" xfId="2" applyNumberFormat="1" applyFont="1" applyFill="1" applyBorder="1" applyAlignment="1">
      <alignment horizontal="center"/>
    </xf>
    <xf numFmtId="40" fontId="28" fillId="14" borderId="30" xfId="3" applyNumberFormat="1" applyFont="1" applyFill="1" applyBorder="1" applyAlignment="1">
      <alignment horizontal="center" vertical="center"/>
    </xf>
    <xf numFmtId="40" fontId="28" fillId="14" borderId="51" xfId="3" applyNumberFormat="1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 wrapText="1"/>
    </xf>
    <xf numFmtId="0" fontId="32" fillId="5" borderId="5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5" fontId="14" fillId="0" borderId="19" xfId="2" applyNumberFormat="1" applyFont="1" applyFill="1" applyBorder="1" applyAlignment="1">
      <alignment horizontal="center"/>
    </xf>
    <xf numFmtId="165" fontId="14" fillId="0" borderId="20" xfId="2" applyNumberFormat="1" applyFont="1" applyFill="1" applyBorder="1" applyAlignment="1">
      <alignment horizontal="center"/>
    </xf>
    <xf numFmtId="3" fontId="28" fillId="14" borderId="28" xfId="3" applyNumberFormat="1" applyFont="1" applyFill="1" applyBorder="1" applyAlignment="1">
      <alignment horizontal="center" vertical="center"/>
    </xf>
    <xf numFmtId="3" fontId="28" fillId="14" borderId="51" xfId="3" applyNumberFormat="1" applyFont="1" applyFill="1" applyBorder="1" applyAlignment="1">
      <alignment horizontal="center" vertical="center"/>
    </xf>
    <xf numFmtId="3" fontId="28" fillId="14" borderId="30" xfId="3" applyNumberFormat="1" applyFont="1" applyFill="1" applyBorder="1" applyAlignment="1">
      <alignment horizontal="center" vertical="center"/>
    </xf>
    <xf numFmtId="3" fontId="28" fillId="14" borderId="29" xfId="3" applyNumberFormat="1" applyFont="1" applyFill="1" applyBorder="1" applyAlignment="1">
      <alignment horizontal="center" vertical="center"/>
    </xf>
    <xf numFmtId="40" fontId="28" fillId="14" borderId="31" xfId="3" applyNumberFormat="1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 wrapText="1"/>
    </xf>
    <xf numFmtId="0" fontId="32" fillId="5" borderId="3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14" fillId="0" borderId="10" xfId="2" applyNumberFormat="1" applyFont="1" applyBorder="1" applyAlignment="1">
      <alignment horizontal="center"/>
    </xf>
    <xf numFmtId="165" fontId="14" fillId="0" borderId="11" xfId="2" applyNumberFormat="1" applyFont="1" applyBorder="1" applyAlignment="1">
      <alignment horizontal="center"/>
    </xf>
    <xf numFmtId="165" fontId="14" fillId="0" borderId="8" xfId="2" applyNumberFormat="1" applyFont="1" applyBorder="1" applyAlignment="1">
      <alignment horizontal="center"/>
    </xf>
    <xf numFmtId="165" fontId="14" fillId="0" borderId="17" xfId="2" applyNumberFormat="1" applyFont="1" applyBorder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8" fillId="2" borderId="0" xfId="0" applyFont="1" applyFill="1" applyAlignment="1">
      <alignment horizontal="center" vertical="top"/>
    </xf>
    <xf numFmtId="0" fontId="32" fillId="5" borderId="47" xfId="7" applyFont="1" applyFill="1" applyBorder="1" applyAlignment="1">
      <alignment horizontal="center" vertical="center" wrapText="1"/>
    </xf>
    <xf numFmtId="0" fontId="32" fillId="5" borderId="48" xfId="7" applyFont="1" applyFill="1" applyBorder="1" applyAlignment="1">
      <alignment horizontal="center" vertical="center" wrapText="1"/>
    </xf>
    <xf numFmtId="0" fontId="51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42" fillId="0" borderId="72" xfId="0" applyFont="1" applyFill="1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56" fillId="0" borderId="0" xfId="0" applyFont="1" applyFill="1" applyBorder="1" applyAlignment="1"/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</cellXfs>
  <cellStyles count="11">
    <cellStyle name="Millares" xfId="1" builtinId="3"/>
    <cellStyle name="Millares 14 10" xfId="8"/>
    <cellStyle name="Millares 2 3" xfId="4"/>
    <cellStyle name="Millares 32" xfId="6"/>
    <cellStyle name="Moneda" xfId="2" builtinId="4"/>
    <cellStyle name="Normal" xfId="0" builtinId="0"/>
    <cellStyle name="Normal 10" xfId="7"/>
    <cellStyle name="Normal 2" xfId="3"/>
    <cellStyle name="Normal 6" xfId="10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66FF66"/>
      <color rgb="FFFFFF66"/>
      <color rgb="FFCC99FF"/>
      <color rgb="FF66FFFF"/>
      <color rgb="FFFF99CC"/>
      <color rgb="FFFF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6896</xdr:rowOff>
    </xdr:from>
    <xdr:to>
      <xdr:col>1</xdr:col>
      <xdr:colOff>1716404</xdr:colOff>
      <xdr:row>9</xdr:row>
      <xdr:rowOff>19050</xdr:rowOff>
    </xdr:to>
    <xdr:pic>
      <xdr:nvPicPr>
        <xdr:cNvPr id="4" name="7 Imagen" descr="D:\Mi Información\Documents\2017\logos Municipio 2017 - 2019\1_2 Heráldica Azul\JPG\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16596"/>
          <a:ext cx="1716404" cy="1726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528800</xdr:colOff>
      <xdr:row>4</xdr:row>
      <xdr:rowOff>144517</xdr:rowOff>
    </xdr:from>
    <xdr:to>
      <xdr:col>26</xdr:col>
      <xdr:colOff>2724150</xdr:colOff>
      <xdr:row>9</xdr:row>
      <xdr:rowOff>38100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3350" y="1363717"/>
          <a:ext cx="3928900" cy="1798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178346</xdr:rowOff>
    </xdr:from>
    <xdr:to>
      <xdr:col>1</xdr:col>
      <xdr:colOff>1716404</xdr:colOff>
      <xdr:row>7</xdr:row>
      <xdr:rowOff>427638</xdr:rowOff>
    </xdr:to>
    <xdr:pic>
      <xdr:nvPicPr>
        <xdr:cNvPr id="6" name="7 Imagen" descr="D:\Mi Información\Documents\2017\logos Municipio 2017 - 2019\1_2 Heráldica Azul\JPG\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97546"/>
          <a:ext cx="1716404" cy="1335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3</xdr:row>
      <xdr:rowOff>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876300</xdr:colOff>
      <xdr:row>1</xdr:row>
      <xdr:rowOff>1</xdr:rowOff>
    </xdr:from>
    <xdr:to>
      <xdr:col>21</xdr:col>
      <xdr:colOff>9525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190501"/>
          <a:ext cx="2952750" cy="1314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3</xdr:row>
      <xdr:rowOff>0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790575</xdr:colOff>
      <xdr:row>1</xdr:row>
      <xdr:rowOff>9526</xdr:rowOff>
    </xdr:from>
    <xdr:to>
      <xdr:col>21</xdr:col>
      <xdr:colOff>19050</xdr:colOff>
      <xdr:row>3</xdr:row>
      <xdr:rowOff>28575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200026"/>
          <a:ext cx="3048000" cy="1314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4</xdr:row>
      <xdr:rowOff>38100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561975</xdr:colOff>
      <xdr:row>0</xdr:row>
      <xdr:rowOff>180974</xdr:rowOff>
    </xdr:from>
    <xdr:to>
      <xdr:col>21</xdr:col>
      <xdr:colOff>9524</xdr:colOff>
      <xdr:row>4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180974"/>
          <a:ext cx="2247899" cy="1609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4</xdr:row>
      <xdr:rowOff>38100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552450</xdr:colOff>
      <xdr:row>0</xdr:row>
      <xdr:rowOff>180974</xdr:rowOff>
    </xdr:from>
    <xdr:to>
      <xdr:col>20</xdr:col>
      <xdr:colOff>695324</xdr:colOff>
      <xdr:row>4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180974"/>
          <a:ext cx="2247899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9526</xdr:rowOff>
    </xdr:from>
    <xdr:to>
      <xdr:col>2</xdr:col>
      <xdr:colOff>314326</xdr:colOff>
      <xdr:row>2</xdr:row>
      <xdr:rowOff>295276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6"/>
          <a:ext cx="16002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561976</xdr:colOff>
      <xdr:row>1</xdr:row>
      <xdr:rowOff>0</xdr:rowOff>
    </xdr:from>
    <xdr:to>
      <xdr:col>20</xdr:col>
      <xdr:colOff>200025</xdr:colOff>
      <xdr:row>2</xdr:row>
      <xdr:rowOff>295276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6" y="190500"/>
          <a:ext cx="2381249" cy="9429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1</xdr:row>
      <xdr:rowOff>9525</xdr:rowOff>
    </xdr:from>
    <xdr:to>
      <xdr:col>2</xdr:col>
      <xdr:colOff>314326</xdr:colOff>
      <xdr:row>4</xdr:row>
      <xdr:rowOff>38100</xdr:rowOff>
    </xdr:to>
    <xdr:pic>
      <xdr:nvPicPr>
        <xdr:cNvPr id="8" name="Imagen 7" descr="D:\Mi Información\Downloads\HERALDICA 2019-2021 (2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00025"/>
          <a:ext cx="16002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552450</xdr:colOff>
      <xdr:row>0</xdr:row>
      <xdr:rowOff>180974</xdr:rowOff>
    </xdr:from>
    <xdr:to>
      <xdr:col>20</xdr:col>
      <xdr:colOff>695324</xdr:colOff>
      <xdr:row>4</xdr:row>
      <xdr:rowOff>19050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0974"/>
          <a:ext cx="2247899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171449</xdr:rowOff>
    </xdr:from>
    <xdr:to>
      <xdr:col>1</xdr:col>
      <xdr:colOff>733424</xdr:colOff>
      <xdr:row>2</xdr:row>
      <xdr:rowOff>419100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49"/>
          <a:ext cx="1419224" cy="10858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76200</xdr:colOff>
      <xdr:row>1</xdr:row>
      <xdr:rowOff>9524</xdr:rowOff>
    </xdr:from>
    <xdr:to>
      <xdr:col>21</xdr:col>
      <xdr:colOff>0</xdr:colOff>
      <xdr:row>3</xdr:row>
      <xdr:rowOff>19049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00024"/>
          <a:ext cx="22098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123826</xdr:colOff>
      <xdr:row>0</xdr:row>
      <xdr:rowOff>171449</xdr:rowOff>
    </xdr:from>
    <xdr:to>
      <xdr:col>2</xdr:col>
      <xdr:colOff>19050</xdr:colOff>
      <xdr:row>3</xdr:row>
      <xdr:rowOff>0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71449"/>
          <a:ext cx="1419224" cy="13144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123826</xdr:colOff>
      <xdr:row>0</xdr:row>
      <xdr:rowOff>171449</xdr:rowOff>
    </xdr:from>
    <xdr:to>
      <xdr:col>2</xdr:col>
      <xdr:colOff>19050</xdr:colOff>
      <xdr:row>3</xdr:row>
      <xdr:rowOff>0</xdr:rowOff>
    </xdr:to>
    <xdr:pic>
      <xdr:nvPicPr>
        <xdr:cNvPr id="6" name="Imagen 5" descr="D:\Mi Información\Downloads\HERALDICA 2019-2021 (2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71449"/>
          <a:ext cx="1419224" cy="1314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M66"/>
  <sheetViews>
    <sheetView tabSelected="1" zoomScale="50" zoomScaleNormal="50" workbookViewId="0">
      <pane xSplit="2" ySplit="14" topLeftCell="C15" activePane="bottomRight" state="frozen"/>
      <selection activeCell="Q4" sqref="Q1:R1048576"/>
      <selection pane="topRight" activeCell="Q4" sqref="Q1:R1048576"/>
      <selection pane="bottomLeft" activeCell="Q4" sqref="Q1:R1048576"/>
      <selection pane="bottomRight" activeCell="AA43" sqref="A3:AA43"/>
    </sheetView>
  </sheetViews>
  <sheetFormatPr baseColWidth="10" defaultRowHeight="15"/>
  <cols>
    <col min="1" max="1" width="5.5703125" style="7" customWidth="1"/>
    <col min="2" max="2" width="60.28515625" customWidth="1"/>
    <col min="3" max="3" width="36" customWidth="1"/>
    <col min="4" max="4" width="34.7109375" customWidth="1"/>
    <col min="5" max="5" width="24.28515625" style="2" hidden="1" customWidth="1"/>
    <col min="6" max="6" width="20.5703125" style="2" hidden="1" customWidth="1"/>
    <col min="7" max="7" width="26.42578125" style="2" hidden="1" customWidth="1"/>
    <col min="8" max="8" width="21.28515625" style="2" hidden="1" customWidth="1"/>
    <col min="9" max="9" width="23.5703125" style="2" hidden="1" customWidth="1"/>
    <col min="10" max="10" width="28" style="2" hidden="1" customWidth="1"/>
    <col min="11" max="11" width="22.28515625" style="2" hidden="1" customWidth="1"/>
    <col min="12" max="12" width="23.28515625" style="2" hidden="1" customWidth="1"/>
    <col min="13" max="13" width="24.85546875" style="2" hidden="1" customWidth="1"/>
    <col min="14" max="14" width="23.7109375" style="2" hidden="1" customWidth="1"/>
    <col min="15" max="15" width="19.85546875" style="2" hidden="1" customWidth="1"/>
    <col min="16" max="18" width="20.42578125" style="2" hidden="1" customWidth="1"/>
    <col min="19" max="19" width="26.42578125" style="2" customWidth="1"/>
    <col min="20" max="20" width="25.85546875" style="2" customWidth="1"/>
    <col min="21" max="21" width="28.42578125" style="2" customWidth="1"/>
    <col min="22" max="22" width="24.7109375" style="2" customWidth="1"/>
    <col min="23" max="23" width="28.42578125" style="2" customWidth="1"/>
    <col min="24" max="24" width="23" style="2" customWidth="1"/>
    <col min="25" max="25" width="22.7109375" style="2" customWidth="1"/>
    <col min="26" max="26" width="25.85546875" style="2" customWidth="1"/>
    <col min="27" max="27" width="41.140625" style="7" customWidth="1"/>
    <col min="28" max="28" width="36.140625" style="7" customWidth="1"/>
    <col min="29" max="39" width="11.5703125" style="7"/>
  </cols>
  <sheetData>
    <row r="2" spans="1:39" ht="27" customHeight="1">
      <c r="C2" s="2"/>
      <c r="D2" s="23"/>
      <c r="U2" s="79"/>
      <c r="W2" s="79"/>
    </row>
    <row r="3" spans="1:39" ht="27" customHeight="1">
      <c r="C3" s="2"/>
      <c r="D3" s="295"/>
      <c r="J3" s="235"/>
      <c r="V3" s="338"/>
      <c r="X3" s="337"/>
    </row>
    <row r="4" spans="1:39" ht="27" customHeight="1">
      <c r="C4" s="2"/>
      <c r="D4" s="23"/>
      <c r="J4" s="235"/>
      <c r="V4" s="338"/>
      <c r="X4" s="337"/>
    </row>
    <row r="6" spans="1:39" s="5" customFormat="1" ht="46.5" customHeight="1">
      <c r="A6" s="6"/>
      <c r="B6" s="420" t="s">
        <v>44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19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s="5" customFormat="1" ht="24" customHeight="1">
      <c r="A7" s="6"/>
      <c r="B7" s="339" t="s">
        <v>903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41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35.25" customHeight="1">
      <c r="A8" s="6"/>
      <c r="B8" s="421" t="s">
        <v>4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19"/>
    </row>
    <row r="9" spans="1:39" s="5" customFormat="1" ht="28.5" customHeight="1">
      <c r="A9" s="4"/>
      <c r="B9" s="422" t="s">
        <v>3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19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39" customHeight="1">
      <c r="Z10" s="423" t="s">
        <v>904</v>
      </c>
      <c r="AA10" s="423"/>
    </row>
    <row r="11" spans="1:39" s="28" customFormat="1" ht="23.25">
      <c r="A11" s="27"/>
      <c r="B11" s="378" t="s">
        <v>5</v>
      </c>
      <c r="C11" s="426" t="s">
        <v>0</v>
      </c>
      <c r="D11" s="427"/>
      <c r="E11" s="363" t="s">
        <v>3</v>
      </c>
      <c r="F11" s="364"/>
      <c r="G11" s="364"/>
      <c r="H11" s="364"/>
      <c r="I11" s="364"/>
      <c r="J11" s="365"/>
      <c r="K11" s="360" t="s">
        <v>40</v>
      </c>
      <c r="L11" s="361"/>
      <c r="M11" s="361"/>
      <c r="N11" s="361"/>
      <c r="O11" s="361"/>
      <c r="P11" s="362"/>
      <c r="Q11" s="345" t="s">
        <v>42</v>
      </c>
      <c r="R11" s="351" t="s">
        <v>36</v>
      </c>
      <c r="S11" s="357" t="s">
        <v>45</v>
      </c>
      <c r="T11" s="358"/>
      <c r="U11" s="358"/>
      <c r="V11" s="358"/>
      <c r="W11" s="358"/>
      <c r="X11" s="358"/>
      <c r="Y11" s="358"/>
      <c r="Z11" s="359"/>
      <c r="AA11" s="348" t="s">
        <v>7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s="28" customFormat="1" ht="21.75" customHeight="1">
      <c r="A12" s="27"/>
      <c r="B12" s="379"/>
      <c r="C12" s="428"/>
      <c r="D12" s="429"/>
      <c r="E12" s="343" t="s">
        <v>51</v>
      </c>
      <c r="F12" s="354" t="s">
        <v>41</v>
      </c>
      <c r="G12" s="355"/>
      <c r="H12" s="356"/>
      <c r="I12" s="109"/>
      <c r="J12" s="343" t="s">
        <v>37</v>
      </c>
      <c r="K12" s="340" t="s">
        <v>48</v>
      </c>
      <c r="L12" s="340" t="s">
        <v>52</v>
      </c>
      <c r="M12" s="340" t="s">
        <v>50</v>
      </c>
      <c r="N12" s="340" t="s">
        <v>55</v>
      </c>
      <c r="O12" s="340" t="s">
        <v>53</v>
      </c>
      <c r="P12" s="340" t="s">
        <v>54</v>
      </c>
      <c r="Q12" s="346"/>
      <c r="R12" s="352"/>
      <c r="S12" s="341" t="s">
        <v>57</v>
      </c>
      <c r="T12" s="341" t="s">
        <v>69</v>
      </c>
      <c r="U12" s="341" t="s">
        <v>70</v>
      </c>
      <c r="V12" s="341" t="s">
        <v>74</v>
      </c>
      <c r="W12" s="341" t="s">
        <v>72</v>
      </c>
      <c r="X12" s="341" t="s">
        <v>755</v>
      </c>
      <c r="Y12" s="341" t="s">
        <v>73</v>
      </c>
      <c r="Z12" s="341" t="s">
        <v>45</v>
      </c>
      <c r="AA12" s="349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s="1" customFormat="1" ht="62.25" customHeight="1">
      <c r="A13" s="8"/>
      <c r="B13" s="380"/>
      <c r="C13" s="34" t="s">
        <v>34</v>
      </c>
      <c r="D13" s="34" t="s">
        <v>1</v>
      </c>
      <c r="E13" s="344"/>
      <c r="F13" s="35" t="s">
        <v>48</v>
      </c>
      <c r="G13" s="35" t="s">
        <v>49</v>
      </c>
      <c r="H13" s="35" t="s">
        <v>50</v>
      </c>
      <c r="I13" s="108" t="s">
        <v>75</v>
      </c>
      <c r="J13" s="344"/>
      <c r="K13" s="340"/>
      <c r="L13" s="340"/>
      <c r="M13" s="340"/>
      <c r="N13" s="340"/>
      <c r="O13" s="340"/>
      <c r="P13" s="340"/>
      <c r="Q13" s="347"/>
      <c r="R13" s="353"/>
      <c r="S13" s="342"/>
      <c r="T13" s="342"/>
      <c r="U13" s="342"/>
      <c r="V13" s="342"/>
      <c r="W13" s="342"/>
      <c r="X13" s="342"/>
      <c r="Y13" s="342"/>
      <c r="Z13" s="342"/>
      <c r="AA13" s="350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1" customFormat="1" ht="15.75" customHeight="1" thickBot="1">
      <c r="A14" s="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  <c r="T14" s="12"/>
      <c r="U14" s="12"/>
      <c r="V14" s="12"/>
      <c r="W14" s="12"/>
      <c r="X14" s="12"/>
      <c r="Y14" s="12"/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6" customFormat="1" ht="35.1" customHeight="1">
      <c r="A15" s="24"/>
      <c r="B15" s="36" t="s">
        <v>6</v>
      </c>
      <c r="C15" s="236">
        <f>PDM!C5</f>
        <v>142540688.84</v>
      </c>
      <c r="D15" s="37">
        <f>PDM!C6</f>
        <v>137397642.72999999</v>
      </c>
      <c r="E15" s="37">
        <f>4626894.65+15238358.23+15177399.12+12477673.72+13785845.09+4580434.24+6146495.61</f>
        <v>72033100.660000011</v>
      </c>
      <c r="F15" s="37">
        <f>2142640.35+1737614.35+1783360.81+2168429.44+2022248.25+1806798.21+2220145.49+1916180.69+1907306.72</f>
        <v>17704724.309999999</v>
      </c>
      <c r="G15" s="37">
        <f>1720163.21+4900586.26+698059.82+3392247.15+3246254.7+1771348.97+816811.36</f>
        <v>16545471.470000001</v>
      </c>
      <c r="H15" s="37">
        <f>33082.61+27582.58+28328.56+207251.03+167858.18+257620.05+135759.25+79051.64+797436.58</f>
        <v>1733970.48</v>
      </c>
      <c r="I15" s="37"/>
      <c r="J15" s="37">
        <f>SUM(E15:H15)</f>
        <v>108017266.92000002</v>
      </c>
      <c r="K15" s="37"/>
      <c r="L15" s="37"/>
      <c r="M15" s="37"/>
      <c r="N15" s="37"/>
      <c r="O15" s="37"/>
      <c r="P15" s="37"/>
      <c r="Q15" s="37"/>
      <c r="R15" s="37"/>
      <c r="S15" s="37">
        <f>J15</f>
        <v>108017266.92000002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325">
        <v>0</v>
      </c>
      <c r="Z15" s="333">
        <f>SUM(S15:Y15)</f>
        <v>108017266.92000002</v>
      </c>
      <c r="AA15" s="329">
        <f>C15-Z15</f>
        <v>34523421.919999987</v>
      </c>
      <c r="AB15" s="3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26" customFormat="1" ht="35.1" customHeight="1">
      <c r="A16" s="24"/>
      <c r="B16" s="38" t="s">
        <v>296</v>
      </c>
      <c r="C16" s="237">
        <v>234000</v>
      </c>
      <c r="D16" s="149"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326">
        <v>0</v>
      </c>
      <c r="Z16" s="334">
        <f>SUM(S16:Y16)</f>
        <v>0</v>
      </c>
      <c r="AA16" s="330">
        <f>C16-Z16</f>
        <v>234000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26" customFormat="1" ht="35.1" customHeight="1">
      <c r="A17" s="24"/>
      <c r="B17" s="38" t="s">
        <v>297</v>
      </c>
      <c r="C17" s="237">
        <v>90348.47</v>
      </c>
      <c r="D17" s="81">
        <v>0</v>
      </c>
      <c r="E17" s="33"/>
      <c r="F17" s="33"/>
      <c r="G17" s="33"/>
      <c r="H17" s="33"/>
      <c r="I17" s="33"/>
      <c r="J17" s="33">
        <f t="shared" ref="J17:J22" si="0">SUM(E17:H17)</f>
        <v>0</v>
      </c>
      <c r="K17" s="33"/>
      <c r="L17" s="33"/>
      <c r="M17" s="33"/>
      <c r="N17" s="33"/>
      <c r="O17" s="33"/>
      <c r="P17" s="33"/>
      <c r="Q17" s="33"/>
      <c r="R17" s="33"/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327">
        <v>0</v>
      </c>
      <c r="Z17" s="335">
        <f t="shared" ref="Z17:Z27" si="1">SUM(S17:Y17)</f>
        <v>0</v>
      </c>
      <c r="AA17" s="331">
        <f t="shared" ref="AA17:AA27" si="2">C17-Z17</f>
        <v>90348.47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26" customFormat="1" ht="50.25" customHeight="1">
      <c r="A18" s="24"/>
      <c r="B18" s="39" t="s">
        <v>76</v>
      </c>
      <c r="C18" s="237">
        <v>615424332</v>
      </c>
      <c r="D18" s="33">
        <f>FORTAMUNDF!C7</f>
        <v>615424331.99999988</v>
      </c>
      <c r="E18" s="33"/>
      <c r="F18" s="33"/>
      <c r="G18" s="33"/>
      <c r="H18" s="33"/>
      <c r="I18" s="33"/>
      <c r="J18" s="33">
        <f t="shared" si="0"/>
        <v>0</v>
      </c>
      <c r="K18" s="33"/>
      <c r="L18" s="33"/>
      <c r="M18" s="33"/>
      <c r="N18" s="33"/>
      <c r="O18" s="33"/>
      <c r="P18" s="33"/>
      <c r="Q18" s="33"/>
      <c r="R18" s="33"/>
      <c r="S18" s="81">
        <v>0</v>
      </c>
      <c r="T18" s="81">
        <f>FORTAMUNDF!I12</f>
        <v>325805529.40999997</v>
      </c>
      <c r="U18" s="81">
        <v>0</v>
      </c>
      <c r="V18" s="81">
        <f>FORTAMUNDF!I14</f>
        <v>32491515.170000002</v>
      </c>
      <c r="W18" s="81">
        <f>FORTAMUNDF!I13</f>
        <v>93013611.680000007</v>
      </c>
      <c r="X18" s="81">
        <v>0</v>
      </c>
      <c r="Y18" s="327">
        <v>1131</v>
      </c>
      <c r="Z18" s="335">
        <f t="shared" si="1"/>
        <v>451311787.25999999</v>
      </c>
      <c r="AA18" s="331">
        <f t="shared" si="2"/>
        <v>164112544.74000001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24" customFormat="1" ht="35.1" customHeight="1">
      <c r="B19" s="38" t="s">
        <v>58</v>
      </c>
      <c r="C19" s="237">
        <v>227557903</v>
      </c>
      <c r="D19" s="81">
        <f>FISMDF!C6</f>
        <v>221182900.54000011</v>
      </c>
      <c r="E19" s="81">
        <v>31563074.170000002</v>
      </c>
      <c r="F19" s="33"/>
      <c r="G19" s="81"/>
      <c r="I19" s="81"/>
      <c r="J19" s="33">
        <f>SUM(E19:I19)</f>
        <v>31563074.170000002</v>
      </c>
      <c r="K19" s="33"/>
      <c r="L19" s="33"/>
      <c r="M19" s="33"/>
      <c r="N19" s="33"/>
      <c r="O19" s="33"/>
      <c r="P19" s="33"/>
      <c r="Q19" s="33"/>
      <c r="R19" s="33"/>
      <c r="S19" s="81">
        <f>E19</f>
        <v>31563074.170000002</v>
      </c>
      <c r="T19" s="81">
        <v>0</v>
      </c>
      <c r="U19" s="81">
        <v>0</v>
      </c>
      <c r="V19" s="81">
        <v>209971</v>
      </c>
      <c r="W19" s="81">
        <v>0</v>
      </c>
      <c r="X19" s="81">
        <v>4312126</v>
      </c>
      <c r="Y19" s="327">
        <v>0</v>
      </c>
      <c r="Z19" s="335">
        <f t="shared" si="1"/>
        <v>36085171.170000002</v>
      </c>
      <c r="AA19" s="331">
        <f t="shared" si="2"/>
        <v>191472731.82999998</v>
      </c>
    </row>
    <row r="20" spans="1:39" s="24" customFormat="1" ht="35.1" customHeight="1">
      <c r="B20" s="38" t="s">
        <v>77</v>
      </c>
      <c r="C20" s="237">
        <v>500000</v>
      </c>
      <c r="D20" s="81">
        <v>0</v>
      </c>
      <c r="E20" s="33"/>
      <c r="F20" s="33"/>
      <c r="G20" s="33"/>
      <c r="H20" s="33"/>
      <c r="I20" s="33"/>
      <c r="J20" s="33">
        <f>SUM(E20:H20)</f>
        <v>0</v>
      </c>
      <c r="K20" s="33"/>
      <c r="L20" s="33"/>
      <c r="M20" s="33"/>
      <c r="N20" s="33"/>
      <c r="O20" s="33"/>
      <c r="P20" s="33"/>
      <c r="Q20" s="33"/>
      <c r="R20" s="33"/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327">
        <v>0</v>
      </c>
      <c r="Z20" s="335">
        <f t="shared" si="1"/>
        <v>0</v>
      </c>
      <c r="AA20" s="331">
        <f t="shared" si="2"/>
        <v>500000</v>
      </c>
    </row>
    <row r="21" spans="1:39" s="24" customFormat="1" ht="48.75" customHeight="1">
      <c r="B21" s="39" t="s">
        <v>78</v>
      </c>
      <c r="C21" s="237">
        <v>34060575</v>
      </c>
      <c r="D21" s="81">
        <f>C21</f>
        <v>34060575</v>
      </c>
      <c r="E21" s="33"/>
      <c r="F21" s="33"/>
      <c r="G21" s="33"/>
      <c r="H21" s="33"/>
      <c r="I21" s="33"/>
      <c r="J21" s="33">
        <f t="shared" ref="J21" si="3">SUM(E21:H21)</f>
        <v>0</v>
      </c>
      <c r="K21" s="33"/>
      <c r="L21" s="33"/>
      <c r="M21" s="33"/>
      <c r="N21" s="33"/>
      <c r="O21" s="33"/>
      <c r="P21" s="33"/>
      <c r="Q21" s="33"/>
      <c r="R21" s="33"/>
      <c r="S21" s="81">
        <v>0</v>
      </c>
      <c r="T21" s="81">
        <v>0</v>
      </c>
      <c r="U21" s="81">
        <v>0</v>
      </c>
      <c r="V21" s="81">
        <f>FORTASEG!I14</f>
        <v>19894300</v>
      </c>
      <c r="W21" s="81">
        <v>0</v>
      </c>
      <c r="X21" s="81">
        <f>FORTASEG!I13</f>
        <v>2899100</v>
      </c>
      <c r="Y21" s="327">
        <f>SUM(FORTASEG!H12+FORTASEG!H15)+34.8</f>
        <v>5311930.8</v>
      </c>
      <c r="Z21" s="335">
        <f t="shared" si="1"/>
        <v>28105330.800000001</v>
      </c>
      <c r="AA21" s="331">
        <f t="shared" si="2"/>
        <v>5955244.1999999993</v>
      </c>
    </row>
    <row r="22" spans="1:39" s="26" customFormat="1" ht="48.75" customHeight="1">
      <c r="A22" s="24"/>
      <c r="B22" s="39" t="s">
        <v>59</v>
      </c>
      <c r="C22" s="237">
        <v>6812115</v>
      </c>
      <c r="D22" s="81">
        <f>C22</f>
        <v>6812115</v>
      </c>
      <c r="E22" s="33"/>
      <c r="F22" s="33"/>
      <c r="G22" s="33"/>
      <c r="H22" s="33"/>
      <c r="I22" s="33"/>
      <c r="J22" s="33">
        <f t="shared" si="0"/>
        <v>0</v>
      </c>
      <c r="K22" s="33"/>
      <c r="L22" s="33"/>
      <c r="M22" s="33"/>
      <c r="N22" s="33"/>
      <c r="O22" s="33"/>
      <c r="P22" s="33"/>
      <c r="Q22" s="33"/>
      <c r="R22" s="33"/>
      <c r="S22" s="81">
        <v>0</v>
      </c>
      <c r="T22" s="81">
        <f>FORTASEG!I18</f>
        <v>4447045.45</v>
      </c>
      <c r="U22" s="81">
        <v>0</v>
      </c>
      <c r="V22" s="81">
        <v>0</v>
      </c>
      <c r="W22" s="81">
        <v>0</v>
      </c>
      <c r="X22" s="81">
        <v>0</v>
      </c>
      <c r="Y22" s="327">
        <v>0</v>
      </c>
      <c r="Z22" s="335">
        <f t="shared" si="1"/>
        <v>4447045.45</v>
      </c>
      <c r="AA22" s="331">
        <f t="shared" si="2"/>
        <v>2365069.5499999998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26" customFormat="1" ht="35.1" customHeight="1">
      <c r="A23" s="24"/>
      <c r="B23" s="38" t="s">
        <v>436</v>
      </c>
      <c r="C23" s="237">
        <v>181.67</v>
      </c>
      <c r="D23" s="81">
        <v>0</v>
      </c>
      <c r="E23" s="33"/>
      <c r="F23" s="33"/>
      <c r="G23" s="33"/>
      <c r="H23" s="33"/>
      <c r="I23" s="33"/>
      <c r="J23" s="33">
        <f t="shared" ref="J23" si="4">SUM(E23:H23)</f>
        <v>0</v>
      </c>
      <c r="K23" s="33"/>
      <c r="L23" s="33"/>
      <c r="M23" s="33"/>
      <c r="N23" s="33"/>
      <c r="O23" s="33"/>
      <c r="P23" s="33"/>
      <c r="Q23" s="33"/>
      <c r="R23" s="33"/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327">
        <v>0</v>
      </c>
      <c r="Z23" s="335">
        <f t="shared" si="1"/>
        <v>0</v>
      </c>
      <c r="AA23" s="331">
        <f t="shared" si="2"/>
        <v>181.67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26" customFormat="1" ht="35.1" customHeight="1">
      <c r="A24" s="24"/>
      <c r="B24" s="38" t="s">
        <v>97</v>
      </c>
      <c r="C24" s="237">
        <v>1000000</v>
      </c>
      <c r="D24" s="81">
        <v>0</v>
      </c>
      <c r="E24" s="33"/>
      <c r="F24" s="33"/>
      <c r="G24" s="33"/>
      <c r="H24" s="33"/>
      <c r="I24" s="33"/>
      <c r="J24" s="33">
        <f t="shared" ref="J24" si="5">SUM(E24:H24)</f>
        <v>0</v>
      </c>
      <c r="K24" s="33"/>
      <c r="L24" s="33"/>
      <c r="M24" s="33"/>
      <c r="N24" s="33"/>
      <c r="O24" s="33"/>
      <c r="P24" s="33"/>
      <c r="Q24" s="33"/>
      <c r="R24" s="33"/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327">
        <v>0</v>
      </c>
      <c r="Z24" s="335">
        <f t="shared" si="1"/>
        <v>0</v>
      </c>
      <c r="AA24" s="331">
        <f t="shared" si="2"/>
        <v>1000000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26" customFormat="1" ht="48.75" customHeight="1">
      <c r="A25" s="24"/>
      <c r="B25" s="39" t="s">
        <v>96</v>
      </c>
      <c r="C25" s="237">
        <v>6750000</v>
      </c>
      <c r="D25" s="81">
        <v>0</v>
      </c>
      <c r="E25" s="33"/>
      <c r="F25" s="33"/>
      <c r="G25" s="33"/>
      <c r="H25" s="33"/>
      <c r="I25" s="33"/>
      <c r="J25" s="33">
        <f t="shared" ref="J25" si="6">SUM(E25:H25)</f>
        <v>0</v>
      </c>
      <c r="K25" s="33"/>
      <c r="L25" s="33"/>
      <c r="M25" s="33"/>
      <c r="N25" s="33"/>
      <c r="O25" s="33"/>
      <c r="P25" s="33"/>
      <c r="Q25" s="33"/>
      <c r="R25" s="33"/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327">
        <v>0</v>
      </c>
      <c r="Z25" s="335">
        <f t="shared" si="1"/>
        <v>0</v>
      </c>
      <c r="AA25" s="331">
        <f t="shared" si="2"/>
        <v>6750000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26" customFormat="1" ht="35.1" customHeight="1">
      <c r="A26" s="24"/>
      <c r="B26" s="38" t="s">
        <v>95</v>
      </c>
      <c r="C26" s="237">
        <v>15300000</v>
      </c>
      <c r="D26" s="81">
        <v>0</v>
      </c>
      <c r="E26" s="33"/>
      <c r="F26" s="33"/>
      <c r="G26" s="33"/>
      <c r="H26" s="33"/>
      <c r="I26" s="33"/>
      <c r="J26" s="33">
        <f t="shared" ref="J26" si="7">SUM(E26:H26)</f>
        <v>0</v>
      </c>
      <c r="K26" s="33"/>
      <c r="L26" s="33"/>
      <c r="M26" s="33"/>
      <c r="N26" s="33"/>
      <c r="O26" s="33"/>
      <c r="P26" s="33"/>
      <c r="Q26" s="33"/>
      <c r="R26" s="33"/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326">
        <v>0</v>
      </c>
      <c r="Z26" s="335">
        <f t="shared" si="1"/>
        <v>0</v>
      </c>
      <c r="AA26" s="331">
        <f t="shared" si="2"/>
        <v>15300000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6" customFormat="1" ht="35.1" customHeight="1" thickBot="1">
      <c r="A27" s="24"/>
      <c r="B27" s="111" t="s">
        <v>43</v>
      </c>
      <c r="C27" s="238">
        <v>200000</v>
      </c>
      <c r="D27" s="113">
        <v>0</v>
      </c>
      <c r="E27" s="112"/>
      <c r="F27" s="112"/>
      <c r="G27" s="112"/>
      <c r="H27" s="112"/>
      <c r="I27" s="112"/>
      <c r="J27" s="112">
        <f t="shared" ref="J27" si="8">SUM(E27:H27)</f>
        <v>0</v>
      </c>
      <c r="K27" s="112"/>
      <c r="L27" s="112"/>
      <c r="M27" s="112"/>
      <c r="N27" s="112"/>
      <c r="O27" s="112"/>
      <c r="P27" s="112"/>
      <c r="Q27" s="112"/>
      <c r="R27" s="112"/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328">
        <v>0</v>
      </c>
      <c r="Z27" s="336">
        <f t="shared" si="1"/>
        <v>0</v>
      </c>
      <c r="AA27" s="332">
        <f t="shared" si="2"/>
        <v>200000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93" customFormat="1" ht="50.25" customHeight="1" thickBot="1">
      <c r="A28" s="92"/>
      <c r="B28" s="366"/>
      <c r="C28" s="86">
        <f>SUM(C15:C27)</f>
        <v>1050470143.9799999</v>
      </c>
      <c r="D28" s="86">
        <f>SUM(D15:D27)</f>
        <v>1014877565.27</v>
      </c>
      <c r="E28" s="86">
        <f t="shared" ref="E28:W28" si="9">SUM(E15:E27)</f>
        <v>103596174.83000001</v>
      </c>
      <c r="F28" s="86">
        <f t="shared" si="9"/>
        <v>17704724.309999999</v>
      </c>
      <c r="G28" s="86">
        <f t="shared" si="9"/>
        <v>16545471.470000001</v>
      </c>
      <c r="H28" s="86">
        <f t="shared" si="9"/>
        <v>1733970.48</v>
      </c>
      <c r="I28" s="86">
        <f t="shared" si="9"/>
        <v>0</v>
      </c>
      <c r="J28" s="86">
        <f t="shared" si="9"/>
        <v>139580341.09000003</v>
      </c>
      <c r="K28" s="82">
        <f t="shared" si="9"/>
        <v>0</v>
      </c>
      <c r="L28" s="82">
        <f t="shared" si="9"/>
        <v>0</v>
      </c>
      <c r="M28" s="82">
        <f t="shared" si="9"/>
        <v>0</v>
      </c>
      <c r="N28" s="82">
        <f t="shared" si="9"/>
        <v>0</v>
      </c>
      <c r="O28" s="82">
        <f t="shared" si="9"/>
        <v>0</v>
      </c>
      <c r="P28" s="82">
        <f t="shared" si="9"/>
        <v>0</v>
      </c>
      <c r="Q28" s="82">
        <f t="shared" si="9"/>
        <v>0</v>
      </c>
      <c r="R28" s="82">
        <f t="shared" si="9"/>
        <v>0</v>
      </c>
      <c r="S28" s="82">
        <f t="shared" si="9"/>
        <v>139580341.09000003</v>
      </c>
      <c r="T28" s="78">
        <f t="shared" si="9"/>
        <v>330252574.85999995</v>
      </c>
      <c r="U28" s="78">
        <f t="shared" si="9"/>
        <v>0</v>
      </c>
      <c r="V28" s="78">
        <f t="shared" si="9"/>
        <v>52595786.170000002</v>
      </c>
      <c r="W28" s="78">
        <f t="shared" si="9"/>
        <v>93013611.680000007</v>
      </c>
      <c r="X28" s="78">
        <f>SUM(X15:X27)</f>
        <v>7211226</v>
      </c>
      <c r="Y28" s="78">
        <f>SUM(Y15:Y27)</f>
        <v>5313061.8</v>
      </c>
      <c r="Z28" s="78">
        <f>SUM(Z15:Z27)</f>
        <v>627966601.60000002</v>
      </c>
      <c r="AA28" s="82">
        <f>SUM(AA15:AA27)</f>
        <v>422503542.38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1:39" s="93" customFormat="1" ht="18.75" customHeight="1" thickTop="1">
      <c r="A29" s="92"/>
      <c r="B29" s="367"/>
      <c r="C29" s="104"/>
      <c r="D29" s="104"/>
      <c r="E29" s="104"/>
      <c r="F29" s="104"/>
      <c r="G29" s="104"/>
      <c r="H29" s="104"/>
      <c r="I29" s="104"/>
      <c r="J29" s="104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84"/>
      <c r="V29" s="84"/>
      <c r="W29" s="84"/>
      <c r="X29" s="84"/>
      <c r="Y29" s="84"/>
      <c r="Z29" s="84"/>
      <c r="AA29" s="83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s="26" customFormat="1" ht="35.1" customHeight="1">
      <c r="A30" s="24"/>
      <c r="B30" s="368"/>
      <c r="C30" s="95" t="s">
        <v>71</v>
      </c>
      <c r="D30" s="90">
        <v>1000</v>
      </c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2">
        <f>F28</f>
        <v>17704724.309999999</v>
      </c>
      <c r="U30" s="96"/>
      <c r="V30" s="239"/>
      <c r="W30" s="41"/>
      <c r="X30" s="41"/>
      <c r="AA30" s="41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26" customFormat="1" ht="35.1" customHeight="1">
      <c r="A31" s="24"/>
      <c r="B31" s="89"/>
      <c r="C31" s="95" t="s">
        <v>71</v>
      </c>
      <c r="D31" s="90">
        <v>2000</v>
      </c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3">
        <f>G28</f>
        <v>16545471.470000001</v>
      </c>
      <c r="U31" s="96"/>
      <c r="V31" s="240"/>
      <c r="W31" s="41"/>
      <c r="X31" s="41"/>
      <c r="AA31" s="41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26" customFormat="1" ht="35.1" customHeight="1">
      <c r="A32" s="24"/>
      <c r="B32" s="89"/>
      <c r="C32" s="95" t="s">
        <v>71</v>
      </c>
      <c r="D32" s="90">
        <v>3000</v>
      </c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2">
        <f>H28</f>
        <v>1733970.48</v>
      </c>
      <c r="U32" s="96"/>
      <c r="V32" s="241"/>
      <c r="W32" s="41"/>
      <c r="X32" s="41"/>
      <c r="AA32" s="41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s="26" customFormat="1" ht="35.1" customHeight="1">
      <c r="A33" s="24"/>
      <c r="B33" s="89"/>
      <c r="C33" s="95" t="s">
        <v>71</v>
      </c>
      <c r="D33" s="90">
        <v>4000</v>
      </c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3">
        <f>I28</f>
        <v>0</v>
      </c>
      <c r="T33" s="110"/>
      <c r="U33" s="105"/>
      <c r="V33" s="97"/>
      <c r="W33" s="41"/>
      <c r="X33" s="41"/>
      <c r="AA33" s="41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s="26" customFormat="1" ht="35.1" customHeight="1">
      <c r="A34" s="24"/>
      <c r="B34" s="89"/>
      <c r="C34" s="95" t="s">
        <v>71</v>
      </c>
      <c r="D34" s="90">
        <v>6000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3">
        <f>E28</f>
        <v>103596174.83000001</v>
      </c>
      <c r="U34" s="96"/>
      <c r="V34" s="97"/>
      <c r="W34" s="41"/>
      <c r="X34" s="41"/>
      <c r="AA34" s="41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26" customFormat="1" ht="35.1" customHeight="1" thickBot="1">
      <c r="A35" s="24"/>
      <c r="B35" s="89"/>
      <c r="C35" s="100" t="s">
        <v>17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1">
        <f>S30+S31+S32+S33+S34</f>
        <v>139580341.09</v>
      </c>
      <c r="U35" s="91"/>
      <c r="V35" s="94"/>
      <c r="W35" s="41"/>
      <c r="X35" s="41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s="26" customFormat="1" ht="35.1" customHeight="1" thickTop="1">
      <c r="A36" s="24"/>
      <c r="B36" s="29"/>
      <c r="C36" s="40"/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s="26" customFormat="1" ht="35.1" customHeight="1">
      <c r="A37" s="24"/>
      <c r="B37" s="29"/>
      <c r="C37" s="40"/>
      <c r="D37" s="40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s="26" customFormat="1" ht="35.1" customHeight="1">
      <c r="A38" s="24"/>
      <c r="B38" s="29"/>
      <c r="C38" s="40"/>
      <c r="D38" s="40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s="26" customFormat="1" ht="35.1" customHeight="1" thickBot="1">
      <c r="A39" s="24"/>
      <c r="B39" s="29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41"/>
      <c r="U39" s="41"/>
      <c r="V39" s="41"/>
      <c r="W39" s="41"/>
      <c r="X39" s="41"/>
      <c r="Y39" s="41"/>
      <c r="Z39" s="41"/>
      <c r="AA39" s="41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s="26" customFormat="1" ht="35.1" customHeight="1">
      <c r="A40" s="24"/>
      <c r="B40" s="245"/>
      <c r="C40" s="373" t="s">
        <v>56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41"/>
      <c r="U40" s="41"/>
      <c r="V40" s="41"/>
      <c r="W40" s="41"/>
      <c r="X40" s="375" t="s">
        <v>38</v>
      </c>
      <c r="Y40" s="375"/>
      <c r="Z40" s="375"/>
      <c r="AA40" s="37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35.1" customHeight="1">
      <c r="B41" s="247"/>
      <c r="C41" s="377" t="s">
        <v>487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45"/>
      <c r="U41" s="45"/>
      <c r="V41" s="45"/>
      <c r="W41" s="45"/>
      <c r="X41" s="376" t="s">
        <v>486</v>
      </c>
      <c r="Y41" s="376"/>
      <c r="Z41" s="376"/>
      <c r="AA41" s="376"/>
    </row>
    <row r="42" spans="1:39" ht="23.25" customHeight="1">
      <c r="B42" s="248"/>
      <c r="C42" s="42"/>
      <c r="D42" s="43"/>
      <c r="E42" s="40"/>
      <c r="F42" s="42"/>
      <c r="G42" s="30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246"/>
      <c r="T42" s="246"/>
      <c r="U42" s="246"/>
      <c r="V42" s="246"/>
      <c r="W42" s="246"/>
      <c r="X42" s="376"/>
      <c r="Y42" s="376"/>
      <c r="Z42" s="376"/>
      <c r="AA42" s="376"/>
    </row>
    <row r="43" spans="1:39" s="73" customFormat="1" ht="33.75" customHeight="1">
      <c r="B43" s="74"/>
      <c r="C43" s="75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156"/>
      <c r="T43" s="249"/>
      <c r="U43" s="249"/>
      <c r="V43" s="249"/>
      <c r="W43" s="249"/>
      <c r="X43" s="156"/>
      <c r="Y43" s="156"/>
      <c r="Z43" s="156"/>
    </row>
    <row r="44" spans="1:39" ht="20.25">
      <c r="B44" s="44"/>
      <c r="C44" s="42"/>
      <c r="D44" s="46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156"/>
      <c r="T44" s="249"/>
      <c r="U44" s="249"/>
      <c r="V44" s="249"/>
      <c r="W44" s="249"/>
      <c r="X44" s="156"/>
      <c r="Y44" s="156"/>
      <c r="Z44" s="156"/>
    </row>
    <row r="45" spans="1:39">
      <c r="B45" s="14"/>
      <c r="C45" s="15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39" hidden="1"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371"/>
      <c r="O46" s="371"/>
      <c r="P46" s="371"/>
      <c r="Q46" s="371"/>
      <c r="R46" s="371"/>
      <c r="S46" s="15"/>
      <c r="T46" s="15"/>
      <c r="U46" s="15"/>
      <c r="V46" s="15"/>
      <c r="W46" s="15"/>
      <c r="X46" s="15"/>
      <c r="Y46" s="15"/>
      <c r="Z46" s="15"/>
    </row>
    <row r="47" spans="1:39" ht="15.75" hidden="1">
      <c r="B47" s="370"/>
      <c r="C47" s="370"/>
      <c r="D47" s="14"/>
      <c r="E47" s="15"/>
      <c r="F47" s="15"/>
      <c r="G47" s="15"/>
      <c r="H47" s="15"/>
      <c r="I47" s="15"/>
      <c r="J47" s="15"/>
      <c r="K47" s="15"/>
      <c r="L47" s="15"/>
      <c r="M47" s="21"/>
      <c r="N47" s="372" t="s">
        <v>38</v>
      </c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</row>
    <row r="48" spans="1:39" ht="15" hidden="1" customHeight="1">
      <c r="B48" s="370"/>
      <c r="C48" s="370"/>
      <c r="D48" s="14"/>
      <c r="E48" s="15"/>
      <c r="F48" s="15"/>
      <c r="G48" s="15"/>
      <c r="H48" s="15"/>
      <c r="I48" s="15"/>
      <c r="J48" s="15"/>
      <c r="K48" s="15"/>
      <c r="L48" s="15"/>
      <c r="M48" s="22"/>
      <c r="N48" s="369" t="s">
        <v>39</v>
      </c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</row>
    <row r="49" spans="2:26" hidden="1"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22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</row>
    <row r="50" spans="2:26">
      <c r="B50" s="17"/>
      <c r="C50" s="15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>
      <c r="B51" s="14"/>
      <c r="C51" s="15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>
      <c r="B52" s="14"/>
      <c r="C52" s="15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7"/>
      <c r="P52" s="17"/>
      <c r="Q52" s="17"/>
      <c r="R52" s="17"/>
      <c r="S52" s="15"/>
      <c r="T52" s="15"/>
      <c r="U52" s="15"/>
      <c r="V52" s="15"/>
      <c r="W52" s="15"/>
      <c r="X52" s="15"/>
      <c r="Y52" s="15"/>
      <c r="Z52" s="15"/>
    </row>
    <row r="53" spans="2:26">
      <c r="B53" s="14"/>
      <c r="C53" s="16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ht="24.95" customHeight="1">
      <c r="B54" s="2"/>
      <c r="C54" s="11"/>
      <c r="K54" s="18"/>
      <c r="L54" s="18"/>
      <c r="M54" s="18"/>
      <c r="N54" s="19"/>
      <c r="O54" s="19"/>
      <c r="Q54" s="19"/>
    </row>
    <row r="55" spans="2:26" ht="24.95" customHeight="1">
      <c r="K55" s="18"/>
      <c r="L55" s="18"/>
      <c r="M55" s="18"/>
      <c r="N55" s="20"/>
      <c r="O55" s="19"/>
      <c r="P55" s="19"/>
      <c r="Q55" s="19"/>
    </row>
    <row r="56" spans="2:26" ht="24.95" customHeight="1">
      <c r="K56" s="3"/>
      <c r="L56" s="3"/>
      <c r="M56" s="3"/>
      <c r="N56" s="20"/>
      <c r="O56" s="19"/>
      <c r="Q56" s="19"/>
    </row>
    <row r="57" spans="2:26" ht="24.95" customHeight="1">
      <c r="K57" s="3"/>
      <c r="L57" s="3"/>
      <c r="M57" s="3"/>
      <c r="N57" s="20"/>
      <c r="O57" s="19"/>
      <c r="P57" s="80"/>
      <c r="Q57" s="19"/>
    </row>
    <row r="58" spans="2:26" ht="24.95" customHeight="1">
      <c r="P58" s="79"/>
    </row>
    <row r="59" spans="2:26" ht="24.95" customHeight="1">
      <c r="B59" s="85"/>
      <c r="P59" s="79"/>
    </row>
    <row r="60" spans="2:26" ht="24.95" customHeight="1">
      <c r="B60" s="2"/>
      <c r="O60" s="79"/>
      <c r="P60" s="79"/>
    </row>
    <row r="61" spans="2:26" ht="24.95" customHeight="1">
      <c r="B61" s="11"/>
      <c r="O61" s="79"/>
    </row>
    <row r="62" spans="2:26" ht="24.95" customHeight="1">
      <c r="O62" s="79"/>
    </row>
    <row r="63" spans="2:26" ht="24.95" customHeight="1"/>
    <row r="64" spans="2:26" ht="24.95" customHeight="1"/>
    <row r="65" ht="24.95" customHeight="1"/>
    <row r="66" ht="24.95" customHeight="1"/>
  </sheetData>
  <mergeCells count="43">
    <mergeCell ref="Z10:AA10"/>
    <mergeCell ref="Y12:Y13"/>
    <mergeCell ref="B28:B30"/>
    <mergeCell ref="N48:Z49"/>
    <mergeCell ref="B48:C48"/>
    <mergeCell ref="N46:R46"/>
    <mergeCell ref="N47:Z47"/>
    <mergeCell ref="B47:C47"/>
    <mergeCell ref="C40:S40"/>
    <mergeCell ref="C39:S39"/>
    <mergeCell ref="X40:AA40"/>
    <mergeCell ref="X41:AA42"/>
    <mergeCell ref="C41:S41"/>
    <mergeCell ref="B11:B13"/>
    <mergeCell ref="K12:K13"/>
    <mergeCell ref="L12:L13"/>
    <mergeCell ref="T12:T13"/>
    <mergeCell ref="X12:X13"/>
    <mergeCell ref="W12:W13"/>
    <mergeCell ref="V12:V13"/>
    <mergeCell ref="E11:J11"/>
    <mergeCell ref="S12:S13"/>
    <mergeCell ref="N12:N13"/>
    <mergeCell ref="O12:O13"/>
    <mergeCell ref="Z12:Z13"/>
    <mergeCell ref="E12:E13"/>
    <mergeCell ref="U12:U13"/>
    <mergeCell ref="Q11:Q13"/>
    <mergeCell ref="C11:D12"/>
    <mergeCell ref="J12:J13"/>
    <mergeCell ref="AA11:AA13"/>
    <mergeCell ref="P12:P13"/>
    <mergeCell ref="R11:R13"/>
    <mergeCell ref="F12:H12"/>
    <mergeCell ref="S11:Z11"/>
    <mergeCell ref="K11:P11"/>
    <mergeCell ref="M12:M13"/>
    <mergeCell ref="X3:X4"/>
    <mergeCell ref="V3:V4"/>
    <mergeCell ref="B6:Z6"/>
    <mergeCell ref="B7:Z7"/>
    <mergeCell ref="B8:Z8"/>
    <mergeCell ref="B9:Z9"/>
  </mergeCells>
  <printOptions horizontalCentered="1" verticalCentered="1"/>
  <pageMargins left="0.39370078740157483" right="0.39370078740157483" top="0" bottom="0" header="0.31496062992125984" footer="0.31496062992125984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N81" workbookViewId="0">
      <selection activeCell="U86" sqref="A1:U86"/>
    </sheetView>
  </sheetViews>
  <sheetFormatPr baseColWidth="10" defaultRowHeight="15"/>
  <cols>
    <col min="1" max="1" width="8.85546875" customWidth="1"/>
    <col min="2" max="2" width="11" customWidth="1"/>
    <col min="3" max="3" width="16.5703125" customWidth="1"/>
    <col min="4" max="4" width="2.7109375" hidden="1" customWidth="1"/>
    <col min="5" max="5" width="9.28515625" customWidth="1"/>
    <col min="6" max="6" width="33.42578125" customWidth="1"/>
    <col min="7" max="7" width="12.42578125" bestFit="1" customWidth="1"/>
    <col min="8" max="8" width="12.42578125" hidden="1" customWidth="1"/>
    <col min="9" max="9" width="13" customWidth="1"/>
    <col min="10" max="10" width="14.85546875" hidden="1" customWidth="1"/>
    <col min="11" max="11" width="11.5703125" customWidth="1"/>
    <col min="12" max="12" width="14.42578125" hidden="1" customWidth="1"/>
    <col min="13" max="13" width="12.7109375" customWidth="1"/>
    <col min="14" max="14" width="10.85546875" style="271" customWidth="1"/>
    <col min="15" max="15" width="10.28515625" style="271" customWidth="1"/>
    <col min="16" max="17" width="8.28515625" customWidth="1"/>
    <col min="18" max="18" width="14.7109375" customWidth="1"/>
    <col min="19" max="19" width="13.85546875" customWidth="1"/>
    <col min="20" max="20" width="15.5703125" style="28" customWidth="1"/>
    <col min="21" max="21" width="13.1406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10"/>
    </row>
    <row r="2" spans="1:23" ht="51" customHeight="1">
      <c r="A2" s="385"/>
      <c r="B2" s="385"/>
      <c r="C2" s="386" t="s">
        <v>47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3" ht="51" customHeight="1">
      <c r="A3" s="385"/>
      <c r="B3" s="385"/>
      <c r="C3" s="387" t="s">
        <v>79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3" ht="15.75" thickBot="1">
      <c r="A4" s="9"/>
      <c r="B4" s="9"/>
      <c r="F4" s="10"/>
      <c r="M4" s="9"/>
    </row>
    <row r="5" spans="1:23" s="26" customFormat="1" ht="24.95" customHeight="1">
      <c r="A5" s="388" t="s">
        <v>33</v>
      </c>
      <c r="B5" s="389"/>
      <c r="C5" s="390">
        <v>142540688.84</v>
      </c>
      <c r="D5" s="390"/>
      <c r="E5" s="391"/>
      <c r="F5" s="31"/>
      <c r="L5" s="222">
        <f>L7-L6</f>
        <v>0</v>
      </c>
      <c r="M5" s="32"/>
      <c r="N5" s="25"/>
      <c r="O5" s="25"/>
      <c r="T5" s="28"/>
    </row>
    <row r="6" spans="1:23" s="26" customFormat="1" ht="34.5" customHeight="1">
      <c r="A6" s="381" t="s">
        <v>46</v>
      </c>
      <c r="B6" s="382"/>
      <c r="C6" s="383">
        <f>G83</f>
        <v>137397642.72999999</v>
      </c>
      <c r="D6" s="383"/>
      <c r="E6" s="384"/>
      <c r="F6" s="31"/>
      <c r="J6" s="223"/>
      <c r="L6" s="220"/>
      <c r="M6" s="32"/>
      <c r="N6" s="25"/>
      <c r="P6" s="425"/>
      <c r="T6" s="28"/>
    </row>
    <row r="7" spans="1:23" s="26" customFormat="1" ht="24.95" customHeight="1">
      <c r="A7" s="396" t="s">
        <v>2</v>
      </c>
      <c r="B7" s="397"/>
      <c r="C7" s="383">
        <f>I83</f>
        <v>108017266.71999998</v>
      </c>
      <c r="D7" s="383"/>
      <c r="E7" s="384"/>
      <c r="F7" s="31"/>
      <c r="L7" s="221"/>
      <c r="M7" s="32"/>
      <c r="N7" s="25"/>
      <c r="O7" s="25"/>
      <c r="T7" s="28"/>
    </row>
    <row r="8" spans="1:23" s="26" customFormat="1" ht="24.95" customHeight="1" thickBot="1">
      <c r="A8" s="398" t="s">
        <v>7</v>
      </c>
      <c r="B8" s="399"/>
      <c r="C8" s="400">
        <f>C6-C7</f>
        <v>29380376.010000005</v>
      </c>
      <c r="D8" s="400"/>
      <c r="E8" s="401"/>
      <c r="F8" s="87"/>
      <c r="G8" s="31"/>
      <c r="H8" s="31"/>
      <c r="I8" s="31"/>
      <c r="M8" s="32"/>
      <c r="N8" s="25"/>
      <c r="O8" s="25"/>
      <c r="T8" s="28"/>
    </row>
    <row r="9" spans="1:23" s="51" customFormat="1" ht="25.5" customHeight="1" thickTop="1" thickBot="1">
      <c r="A9" s="47"/>
      <c r="B9" s="47"/>
      <c r="C9" s="47"/>
      <c r="D9" s="47"/>
      <c r="E9" s="48"/>
      <c r="F9" s="47"/>
      <c r="G9" s="402" t="s">
        <v>8</v>
      </c>
      <c r="H9" s="403"/>
      <c r="I9" s="404" t="s">
        <v>9</v>
      </c>
      <c r="J9" s="403"/>
      <c r="K9" s="392" t="s">
        <v>10</v>
      </c>
      <c r="L9" s="393"/>
      <c r="M9" s="124"/>
      <c r="N9" s="49"/>
      <c r="O9" s="49"/>
      <c r="P9" s="50"/>
      <c r="Q9" s="50"/>
      <c r="R9" s="50"/>
      <c r="S9" s="424" t="s">
        <v>904</v>
      </c>
      <c r="T9" s="424"/>
      <c r="U9" s="424"/>
      <c r="V9" s="49"/>
    </row>
    <row r="10" spans="1:23" s="117" customFormat="1" ht="42" customHeight="1" thickBot="1">
      <c r="A10" s="262" t="s">
        <v>11</v>
      </c>
      <c r="B10" s="263" t="s">
        <v>12</v>
      </c>
      <c r="C10" s="263" t="s">
        <v>13</v>
      </c>
      <c r="D10" s="263" t="s">
        <v>14</v>
      </c>
      <c r="E10" s="264" t="s">
        <v>15</v>
      </c>
      <c r="F10" s="263" t="s">
        <v>16</v>
      </c>
      <c r="G10" s="265" t="s">
        <v>17</v>
      </c>
      <c r="H10" s="265" t="s">
        <v>18</v>
      </c>
      <c r="I10" s="266" t="s">
        <v>17</v>
      </c>
      <c r="J10" s="266" t="s">
        <v>18</v>
      </c>
      <c r="K10" s="266" t="s">
        <v>17</v>
      </c>
      <c r="L10" s="267" t="s">
        <v>18</v>
      </c>
      <c r="M10" s="263" t="s">
        <v>19</v>
      </c>
      <c r="N10" s="263" t="s">
        <v>20</v>
      </c>
      <c r="O10" s="263" t="s">
        <v>21</v>
      </c>
      <c r="P10" s="394" t="s">
        <v>22</v>
      </c>
      <c r="Q10" s="395"/>
      <c r="R10" s="270" t="s">
        <v>23</v>
      </c>
      <c r="S10" s="263" t="s">
        <v>24</v>
      </c>
      <c r="T10" s="263" t="s">
        <v>25</v>
      </c>
      <c r="U10" s="268" t="s">
        <v>26</v>
      </c>
      <c r="V10" s="116"/>
    </row>
    <row r="11" spans="1:23" s="51" customFormat="1" ht="51.75" customHeight="1">
      <c r="A11" s="273" t="s">
        <v>67</v>
      </c>
      <c r="B11" s="274">
        <v>43858</v>
      </c>
      <c r="C11" s="275" t="s">
        <v>80</v>
      </c>
      <c r="D11" s="276" t="s">
        <v>35</v>
      </c>
      <c r="E11" s="277" t="s">
        <v>81</v>
      </c>
      <c r="F11" s="278" t="s">
        <v>82</v>
      </c>
      <c r="G11" s="279">
        <f t="shared" ref="G11:G74" si="0">H11</f>
        <v>1954279.62</v>
      </c>
      <c r="H11" s="280">
        <v>1954279.62</v>
      </c>
      <c r="I11" s="279">
        <f t="shared" ref="I11:I52" si="1">J11</f>
        <v>1377327.3499999996</v>
      </c>
      <c r="J11" s="279">
        <f>59986.18+45396.34+177646.85+230623.06+131219.74+91659.43+318417.42+149943.18+172435.15</f>
        <v>1377327.3499999996</v>
      </c>
      <c r="K11" s="279">
        <f>L11</f>
        <v>576952.27000000048</v>
      </c>
      <c r="L11" s="281">
        <f>H11-J11</f>
        <v>576952.27000000048</v>
      </c>
      <c r="M11" s="282" t="s">
        <v>60</v>
      </c>
      <c r="N11" s="283">
        <v>0.49940000000000001</v>
      </c>
      <c r="O11" s="283">
        <v>0.80569999999999997</v>
      </c>
      <c r="P11" s="284" t="s">
        <v>27</v>
      </c>
      <c r="Q11" s="285">
        <v>1</v>
      </c>
      <c r="R11" s="286">
        <v>877190</v>
      </c>
      <c r="S11" s="287" t="s">
        <v>28</v>
      </c>
      <c r="T11" s="287" t="s">
        <v>28</v>
      </c>
      <c r="U11" s="288" t="s">
        <v>29</v>
      </c>
      <c r="V11" s="77"/>
      <c r="W11" s="77"/>
    </row>
    <row r="12" spans="1:23" s="51" customFormat="1" ht="88.5" customHeight="1">
      <c r="A12" s="189" t="s">
        <v>67</v>
      </c>
      <c r="B12" s="289">
        <v>43858</v>
      </c>
      <c r="C12" s="290" t="s">
        <v>83</v>
      </c>
      <c r="D12" s="53" t="s">
        <v>35</v>
      </c>
      <c r="E12" s="54" t="s">
        <v>30</v>
      </c>
      <c r="F12" s="291" t="s">
        <v>84</v>
      </c>
      <c r="G12" s="55">
        <f t="shared" si="0"/>
        <v>1701139.23</v>
      </c>
      <c r="H12" s="292">
        <v>1701139.23</v>
      </c>
      <c r="I12" s="55">
        <f t="shared" si="1"/>
        <v>1621451.9899999998</v>
      </c>
      <c r="J12" s="55">
        <f>181733.58+149140.54+157095.04+320840.06+165210.12+180165.38+182470.42+143991.98+140804.87</f>
        <v>1621451.9899999998</v>
      </c>
      <c r="K12" s="55">
        <f t="shared" ref="K12:K75" si="2">L12</f>
        <v>79687.240000000224</v>
      </c>
      <c r="L12" s="56">
        <f t="shared" ref="L12:L75" si="3">H12-J12</f>
        <v>79687.240000000224</v>
      </c>
      <c r="M12" s="293" t="s">
        <v>60</v>
      </c>
      <c r="N12" s="72">
        <v>0.26129999999999998</v>
      </c>
      <c r="O12" s="72">
        <v>0.73250000000000004</v>
      </c>
      <c r="P12" s="57" t="s">
        <v>27</v>
      </c>
      <c r="Q12" s="58">
        <v>1</v>
      </c>
      <c r="R12" s="59">
        <v>877190</v>
      </c>
      <c r="S12" s="60" t="s">
        <v>28</v>
      </c>
      <c r="T12" s="60" t="s">
        <v>28</v>
      </c>
      <c r="U12" s="132" t="s">
        <v>29</v>
      </c>
      <c r="V12" s="77"/>
      <c r="W12" s="77"/>
    </row>
    <row r="13" spans="1:23" s="51" customFormat="1" ht="86.25" customHeight="1">
      <c r="A13" s="189" t="s">
        <v>67</v>
      </c>
      <c r="B13" s="289">
        <v>44054</v>
      </c>
      <c r="C13" s="290" t="s">
        <v>757</v>
      </c>
      <c r="D13" s="53"/>
      <c r="E13" s="54" t="s">
        <v>61</v>
      </c>
      <c r="F13" s="291" t="s">
        <v>85</v>
      </c>
      <c r="G13" s="55">
        <f t="shared" si="0"/>
        <v>18741503.559999999</v>
      </c>
      <c r="H13" s="292">
        <v>18741503.559999999</v>
      </c>
      <c r="I13" s="55">
        <f t="shared" si="1"/>
        <v>10178805.760000002</v>
      </c>
      <c r="J13" s="55">
        <f>886040.88+730696.04+1082495.99+2053522.46+942372.04+854582.95+1273330.25+1334499.67+500.4+1020765.08</f>
        <v>10178805.760000002</v>
      </c>
      <c r="K13" s="55">
        <f t="shared" si="2"/>
        <v>8562697.799999997</v>
      </c>
      <c r="L13" s="56">
        <f t="shared" si="3"/>
        <v>8562697.799999997</v>
      </c>
      <c r="M13" s="293" t="s">
        <v>60</v>
      </c>
      <c r="N13" s="72">
        <v>0.46589999999999998</v>
      </c>
      <c r="O13" s="72">
        <v>0.57489999999999997</v>
      </c>
      <c r="P13" s="57" t="s">
        <v>27</v>
      </c>
      <c r="Q13" s="58">
        <v>1</v>
      </c>
      <c r="R13" s="59">
        <v>877190</v>
      </c>
      <c r="S13" s="60" t="s">
        <v>28</v>
      </c>
      <c r="T13" s="60" t="s">
        <v>28</v>
      </c>
      <c r="U13" s="132" t="s">
        <v>29</v>
      </c>
      <c r="V13" s="77"/>
      <c r="W13" s="77"/>
    </row>
    <row r="14" spans="1:23" s="51" customFormat="1" ht="54" customHeight="1">
      <c r="A14" s="189" t="s">
        <v>67</v>
      </c>
      <c r="B14" s="289">
        <v>43858</v>
      </c>
      <c r="C14" s="290" t="s">
        <v>86</v>
      </c>
      <c r="D14" s="53"/>
      <c r="E14" s="54" t="s">
        <v>62</v>
      </c>
      <c r="F14" s="291" t="s">
        <v>87</v>
      </c>
      <c r="G14" s="55">
        <f t="shared" si="0"/>
        <v>2232450.58</v>
      </c>
      <c r="H14" s="292">
        <v>2232450.58</v>
      </c>
      <c r="I14" s="55">
        <f t="shared" si="1"/>
        <v>2043423.7200000002</v>
      </c>
      <c r="J14" s="55">
        <f>237172.74+193044.29+201649.66+265285.48+211399.22+211131.73+283237.24+237834.84+202668.52</f>
        <v>2043423.7200000002</v>
      </c>
      <c r="K14" s="55">
        <f t="shared" si="2"/>
        <v>189026.85999999987</v>
      </c>
      <c r="L14" s="56">
        <f t="shared" si="3"/>
        <v>189026.85999999987</v>
      </c>
      <c r="M14" s="293" t="s">
        <v>60</v>
      </c>
      <c r="N14" s="72">
        <v>0.19769999999999999</v>
      </c>
      <c r="O14" s="72">
        <v>0.74039999999999995</v>
      </c>
      <c r="P14" s="57" t="s">
        <v>27</v>
      </c>
      <c r="Q14" s="58">
        <v>1</v>
      </c>
      <c r="R14" s="59">
        <v>877190</v>
      </c>
      <c r="S14" s="60" t="s">
        <v>28</v>
      </c>
      <c r="T14" s="60" t="s">
        <v>28</v>
      </c>
      <c r="U14" s="132" t="s">
        <v>29</v>
      </c>
      <c r="V14" s="77"/>
      <c r="W14" s="77"/>
    </row>
    <row r="15" spans="1:23" s="51" customFormat="1" ht="48" customHeight="1">
      <c r="A15" s="189" t="s">
        <v>67</v>
      </c>
      <c r="B15" s="289">
        <v>44062</v>
      </c>
      <c r="C15" s="290" t="s">
        <v>735</v>
      </c>
      <c r="D15" s="53"/>
      <c r="E15" s="54" t="s">
        <v>63</v>
      </c>
      <c r="F15" s="294" t="s">
        <v>88</v>
      </c>
      <c r="G15" s="55">
        <f t="shared" si="0"/>
        <v>1160057.23</v>
      </c>
      <c r="H15" s="292">
        <v>1160057.23</v>
      </c>
      <c r="I15" s="55">
        <f t="shared" si="1"/>
        <v>726782.46</v>
      </c>
      <c r="J15" s="55">
        <f>36114.73+29556.5+29462.36+35378.3+33021.24+30479.93+36937.98+30502.71+465328.71</f>
        <v>726782.46</v>
      </c>
      <c r="K15" s="55">
        <f t="shared" si="2"/>
        <v>433274.77</v>
      </c>
      <c r="L15" s="56">
        <f t="shared" si="3"/>
        <v>433274.77</v>
      </c>
      <c r="M15" s="293" t="s">
        <v>60</v>
      </c>
      <c r="N15" s="72">
        <v>0.45900000000000002</v>
      </c>
      <c r="O15" s="72">
        <v>0.61919999999999997</v>
      </c>
      <c r="P15" s="57" t="s">
        <v>27</v>
      </c>
      <c r="Q15" s="58">
        <v>1</v>
      </c>
      <c r="R15" s="59">
        <v>877190</v>
      </c>
      <c r="S15" s="60" t="s">
        <v>28</v>
      </c>
      <c r="T15" s="60" t="s">
        <v>28</v>
      </c>
      <c r="U15" s="132" t="s">
        <v>29</v>
      </c>
      <c r="V15" s="77"/>
      <c r="W15" s="77"/>
    </row>
    <row r="16" spans="1:23" s="51" customFormat="1" ht="71.25" customHeight="1">
      <c r="A16" s="189" t="s">
        <v>67</v>
      </c>
      <c r="B16" s="289">
        <v>43858</v>
      </c>
      <c r="C16" s="290" t="s">
        <v>89</v>
      </c>
      <c r="D16" s="53"/>
      <c r="E16" s="54" t="s">
        <v>68</v>
      </c>
      <c r="F16" s="294" t="s">
        <v>90</v>
      </c>
      <c r="G16" s="55">
        <f t="shared" si="0"/>
        <v>1373617.06</v>
      </c>
      <c r="H16" s="292">
        <v>1373617.06</v>
      </c>
      <c r="I16" s="55">
        <f t="shared" si="1"/>
        <v>858011.71</v>
      </c>
      <c r="J16" s="55">
        <f>30301.89+25004.63+23720.84+459202.74+28125.78+24501.07+31642.59+71700.25+163811.92</f>
        <v>858011.71</v>
      </c>
      <c r="K16" s="55">
        <f t="shared" si="2"/>
        <v>515605.35000000009</v>
      </c>
      <c r="L16" s="56">
        <f t="shared" si="3"/>
        <v>515605.35000000009</v>
      </c>
      <c r="M16" s="293" t="s">
        <v>60</v>
      </c>
      <c r="N16" s="72">
        <v>0.34139999999999998</v>
      </c>
      <c r="O16" s="72">
        <v>0.77649999999999997</v>
      </c>
      <c r="P16" s="57" t="s">
        <v>27</v>
      </c>
      <c r="Q16" s="58">
        <v>1</v>
      </c>
      <c r="R16" s="59">
        <v>877190</v>
      </c>
      <c r="S16" s="60" t="s">
        <v>28</v>
      </c>
      <c r="T16" s="60" t="s">
        <v>28</v>
      </c>
      <c r="U16" s="132" t="s">
        <v>29</v>
      </c>
      <c r="V16" s="77"/>
      <c r="W16" s="77"/>
    </row>
    <row r="17" spans="1:23" s="51" customFormat="1" ht="71.25" customHeight="1">
      <c r="A17" s="189" t="s">
        <v>67</v>
      </c>
      <c r="B17" s="289">
        <v>44063</v>
      </c>
      <c r="C17" s="290" t="s">
        <v>736</v>
      </c>
      <c r="D17" s="53"/>
      <c r="E17" s="54" t="s">
        <v>64</v>
      </c>
      <c r="F17" s="294" t="s">
        <v>91</v>
      </c>
      <c r="G17" s="55">
        <f t="shared" si="0"/>
        <v>20394261.960000001</v>
      </c>
      <c r="H17" s="292">
        <v>20394261.960000001</v>
      </c>
      <c r="I17" s="55">
        <f t="shared" si="1"/>
        <v>14345243.149999997</v>
      </c>
      <c r="J17" s="55">
        <f>570707.7+453802.16+1411752.53+2524819.89+1123332.01+3864394.13+1997423.53+1605708.37+793302.83</f>
        <v>14345243.149999997</v>
      </c>
      <c r="K17" s="55">
        <f t="shared" si="2"/>
        <v>6049018.8100000042</v>
      </c>
      <c r="L17" s="56">
        <f t="shared" si="3"/>
        <v>6049018.8100000042</v>
      </c>
      <c r="M17" s="293" t="s">
        <v>60</v>
      </c>
      <c r="N17" s="72">
        <v>0.44119999999999998</v>
      </c>
      <c r="O17" s="72">
        <v>0.69169999999999998</v>
      </c>
      <c r="P17" s="57" t="s">
        <v>27</v>
      </c>
      <c r="Q17" s="58">
        <v>1</v>
      </c>
      <c r="R17" s="59">
        <v>877190</v>
      </c>
      <c r="S17" s="60" t="s">
        <v>28</v>
      </c>
      <c r="T17" s="60" t="s">
        <v>28</v>
      </c>
      <c r="U17" s="132" t="s">
        <v>29</v>
      </c>
      <c r="V17" s="77"/>
      <c r="W17" s="77"/>
    </row>
    <row r="18" spans="1:23" s="51" customFormat="1" ht="71.25" customHeight="1">
      <c r="A18" s="189" t="s">
        <v>67</v>
      </c>
      <c r="B18" s="289">
        <v>44064</v>
      </c>
      <c r="C18" s="290" t="s">
        <v>737</v>
      </c>
      <c r="D18" s="53"/>
      <c r="E18" s="54" t="s">
        <v>65</v>
      </c>
      <c r="F18" s="294" t="s">
        <v>92</v>
      </c>
      <c r="G18" s="55">
        <f t="shared" si="0"/>
        <v>6750142</v>
      </c>
      <c r="H18" s="292">
        <v>6750142</v>
      </c>
      <c r="I18" s="55">
        <f t="shared" si="1"/>
        <v>4237987.03</v>
      </c>
      <c r="J18" s="55">
        <f>153838.29+122498.66+411342.34+1261552.71+141415.92+184032.83+1353246.46+129264.11+480795.71</f>
        <v>4237987.03</v>
      </c>
      <c r="K18" s="55">
        <f t="shared" si="2"/>
        <v>2512154.9699999997</v>
      </c>
      <c r="L18" s="56">
        <f t="shared" si="3"/>
        <v>2512154.9699999997</v>
      </c>
      <c r="M18" s="293" t="s">
        <v>60</v>
      </c>
      <c r="N18" s="72">
        <v>0.1396</v>
      </c>
      <c r="O18" s="72">
        <v>0.71050000000000002</v>
      </c>
      <c r="P18" s="57" t="s">
        <v>27</v>
      </c>
      <c r="Q18" s="58">
        <v>1</v>
      </c>
      <c r="R18" s="59">
        <v>877190</v>
      </c>
      <c r="S18" s="60" t="s">
        <v>28</v>
      </c>
      <c r="T18" s="60" t="s">
        <v>28</v>
      </c>
      <c r="U18" s="132" t="s">
        <v>29</v>
      </c>
      <c r="V18" s="77"/>
      <c r="W18" s="77"/>
    </row>
    <row r="19" spans="1:23" s="51" customFormat="1" ht="64.5" customHeight="1">
      <c r="A19" s="189" t="s">
        <v>67</v>
      </c>
      <c r="B19" s="289">
        <v>43858</v>
      </c>
      <c r="C19" s="290" t="s">
        <v>93</v>
      </c>
      <c r="D19" s="53"/>
      <c r="E19" s="54" t="s">
        <v>66</v>
      </c>
      <c r="F19" s="294" t="s">
        <v>94</v>
      </c>
      <c r="G19" s="55">
        <f t="shared" si="0"/>
        <v>1415757.91</v>
      </c>
      <c r="H19" s="292">
        <v>1415757.91</v>
      </c>
      <c r="I19" s="55">
        <f t="shared" si="1"/>
        <v>595132.92999999993</v>
      </c>
      <c r="J19" s="55">
        <f>19826.97+16057.77+36686.97+125042.03+111569.62+16218.52+125453.55+62635.63+81641.87</f>
        <v>595132.92999999993</v>
      </c>
      <c r="K19" s="55">
        <f t="shared" si="2"/>
        <v>820624.98</v>
      </c>
      <c r="L19" s="56">
        <f t="shared" si="3"/>
        <v>820624.98</v>
      </c>
      <c r="M19" s="293" t="s">
        <v>60</v>
      </c>
      <c r="N19" s="72">
        <f t="shared" ref="N19:N81" si="4">I19/G19</f>
        <v>0.42036348573182258</v>
      </c>
      <c r="O19" s="72">
        <v>0.34</v>
      </c>
      <c r="P19" s="57" t="s">
        <v>27</v>
      </c>
      <c r="Q19" s="58">
        <v>1</v>
      </c>
      <c r="R19" s="59">
        <v>877190</v>
      </c>
      <c r="S19" s="60" t="s">
        <v>28</v>
      </c>
      <c r="T19" s="60" t="s">
        <v>28</v>
      </c>
      <c r="U19" s="132" t="s">
        <v>29</v>
      </c>
      <c r="V19" s="77"/>
      <c r="W19" s="77"/>
    </row>
    <row r="20" spans="1:23" s="51" customFormat="1" ht="83.25" customHeight="1">
      <c r="A20" s="189" t="s">
        <v>67</v>
      </c>
      <c r="B20" s="289">
        <v>43867</v>
      </c>
      <c r="C20" s="290" t="s">
        <v>98</v>
      </c>
      <c r="D20" s="53"/>
      <c r="E20" s="54" t="s">
        <v>99</v>
      </c>
      <c r="F20" s="294" t="s">
        <v>100</v>
      </c>
      <c r="G20" s="55">
        <f t="shared" si="0"/>
        <v>632379.03</v>
      </c>
      <c r="H20" s="292">
        <v>632379.03</v>
      </c>
      <c r="I20" s="55">
        <f t="shared" si="1"/>
        <v>632379.03</v>
      </c>
      <c r="J20" s="292">
        <f>621639.31+10739.72</f>
        <v>632379.03</v>
      </c>
      <c r="K20" s="55">
        <f t="shared" si="2"/>
        <v>0</v>
      </c>
      <c r="L20" s="56">
        <f t="shared" si="3"/>
        <v>0</v>
      </c>
      <c r="M20" s="293" t="s">
        <v>101</v>
      </c>
      <c r="N20" s="72">
        <f t="shared" si="4"/>
        <v>1</v>
      </c>
      <c r="O20" s="72">
        <v>1</v>
      </c>
      <c r="P20" s="57" t="s">
        <v>27</v>
      </c>
      <c r="Q20" s="58">
        <v>1</v>
      </c>
      <c r="R20" s="59">
        <v>3500</v>
      </c>
      <c r="S20" s="60" t="s">
        <v>187</v>
      </c>
      <c r="T20" s="60" t="s">
        <v>253</v>
      </c>
      <c r="U20" s="132" t="s">
        <v>254</v>
      </c>
      <c r="V20" s="77"/>
      <c r="W20" s="77"/>
    </row>
    <row r="21" spans="1:23" s="51" customFormat="1" ht="124.5" customHeight="1">
      <c r="A21" s="189" t="s">
        <v>67</v>
      </c>
      <c r="B21" s="289">
        <v>43867</v>
      </c>
      <c r="C21" s="290" t="s">
        <v>102</v>
      </c>
      <c r="D21" s="53"/>
      <c r="E21" s="54" t="s">
        <v>103</v>
      </c>
      <c r="F21" s="294" t="s">
        <v>104</v>
      </c>
      <c r="G21" s="55">
        <f t="shared" si="0"/>
        <v>423303.31</v>
      </c>
      <c r="H21" s="292">
        <v>423303.31</v>
      </c>
      <c r="I21" s="55">
        <f t="shared" si="1"/>
        <v>423303.31</v>
      </c>
      <c r="J21" s="292">
        <f>392846.63+30456.68</f>
        <v>423303.31</v>
      </c>
      <c r="K21" s="55">
        <f t="shared" si="2"/>
        <v>0</v>
      </c>
      <c r="L21" s="56">
        <f t="shared" si="3"/>
        <v>0</v>
      </c>
      <c r="M21" s="293" t="s">
        <v>101</v>
      </c>
      <c r="N21" s="72">
        <f t="shared" si="4"/>
        <v>1</v>
      </c>
      <c r="O21" s="72">
        <v>1</v>
      </c>
      <c r="P21" s="57" t="s">
        <v>27</v>
      </c>
      <c r="Q21" s="58">
        <v>1</v>
      </c>
      <c r="R21" s="59">
        <v>2500</v>
      </c>
      <c r="S21" s="60" t="s">
        <v>187</v>
      </c>
      <c r="T21" s="60" t="s">
        <v>255</v>
      </c>
      <c r="U21" s="132" t="s">
        <v>188</v>
      </c>
      <c r="V21" s="77"/>
      <c r="W21" s="77"/>
    </row>
    <row r="22" spans="1:23" s="51" customFormat="1" ht="87" customHeight="1">
      <c r="A22" s="189" t="s">
        <v>67</v>
      </c>
      <c r="B22" s="289">
        <v>43867</v>
      </c>
      <c r="C22" s="290" t="s">
        <v>105</v>
      </c>
      <c r="D22" s="53"/>
      <c r="E22" s="54" t="s">
        <v>106</v>
      </c>
      <c r="F22" s="294" t="s">
        <v>107</v>
      </c>
      <c r="G22" s="55">
        <f t="shared" si="0"/>
        <v>192881.1</v>
      </c>
      <c r="H22" s="292">
        <v>192881.1</v>
      </c>
      <c r="I22" s="55">
        <f t="shared" si="1"/>
        <v>192881.09999999998</v>
      </c>
      <c r="J22" s="292">
        <f>185613.27+7267.83</f>
        <v>192881.09999999998</v>
      </c>
      <c r="K22" s="55">
        <f t="shared" si="2"/>
        <v>0</v>
      </c>
      <c r="L22" s="56">
        <f t="shared" si="3"/>
        <v>0</v>
      </c>
      <c r="M22" s="293" t="s">
        <v>101</v>
      </c>
      <c r="N22" s="72">
        <f t="shared" si="4"/>
        <v>0.99999999999999989</v>
      </c>
      <c r="O22" s="72">
        <v>1</v>
      </c>
      <c r="P22" s="57" t="s">
        <v>27</v>
      </c>
      <c r="Q22" s="58">
        <v>1</v>
      </c>
      <c r="R22" s="59">
        <v>2500</v>
      </c>
      <c r="S22" s="60" t="s">
        <v>187</v>
      </c>
      <c r="T22" s="60" t="s">
        <v>256</v>
      </c>
      <c r="U22" s="132" t="s">
        <v>257</v>
      </c>
      <c r="V22" s="77"/>
      <c r="W22" s="77"/>
    </row>
    <row r="23" spans="1:23" s="51" customFormat="1" ht="74.25" customHeight="1">
      <c r="A23" s="189" t="s">
        <v>67</v>
      </c>
      <c r="B23" s="289">
        <v>43867</v>
      </c>
      <c r="C23" s="290" t="s">
        <v>108</v>
      </c>
      <c r="D23" s="53"/>
      <c r="E23" s="54" t="s">
        <v>109</v>
      </c>
      <c r="F23" s="294" t="s">
        <v>110</v>
      </c>
      <c r="G23" s="55">
        <f t="shared" si="0"/>
        <v>397941.4</v>
      </c>
      <c r="H23" s="292">
        <v>397941.4</v>
      </c>
      <c r="I23" s="55">
        <f t="shared" si="1"/>
        <v>397941.4</v>
      </c>
      <c r="J23" s="292">
        <f>387596.38+10345.02</f>
        <v>397941.4</v>
      </c>
      <c r="K23" s="55">
        <f t="shared" si="2"/>
        <v>0</v>
      </c>
      <c r="L23" s="56">
        <f t="shared" si="3"/>
        <v>0</v>
      </c>
      <c r="M23" s="293" t="s">
        <v>101</v>
      </c>
      <c r="N23" s="72">
        <f t="shared" si="4"/>
        <v>1</v>
      </c>
      <c r="O23" s="72">
        <v>1</v>
      </c>
      <c r="P23" s="57" t="s">
        <v>27</v>
      </c>
      <c r="Q23" s="58">
        <v>1</v>
      </c>
      <c r="R23" s="59">
        <v>3600</v>
      </c>
      <c r="S23" s="60" t="s">
        <v>187</v>
      </c>
      <c r="T23" s="60" t="s">
        <v>336</v>
      </c>
      <c r="U23" s="132" t="s">
        <v>337</v>
      </c>
      <c r="V23" s="77"/>
      <c r="W23" s="77"/>
    </row>
    <row r="24" spans="1:23" s="51" customFormat="1" ht="102" customHeight="1">
      <c r="A24" s="189" t="s">
        <v>67</v>
      </c>
      <c r="B24" s="289">
        <v>43867</v>
      </c>
      <c r="C24" s="290" t="s">
        <v>111</v>
      </c>
      <c r="D24" s="53"/>
      <c r="E24" s="54" t="s">
        <v>112</v>
      </c>
      <c r="F24" s="294" t="s">
        <v>113</v>
      </c>
      <c r="G24" s="55">
        <f t="shared" si="0"/>
        <v>542513.92000000004</v>
      </c>
      <c r="H24" s="292">
        <v>542513.92000000004</v>
      </c>
      <c r="I24" s="55">
        <f t="shared" si="1"/>
        <v>542513.92000000004</v>
      </c>
      <c r="J24" s="292">
        <f>508360.74+34153.18</f>
        <v>542513.92000000004</v>
      </c>
      <c r="K24" s="55">
        <f t="shared" si="2"/>
        <v>0</v>
      </c>
      <c r="L24" s="56">
        <f t="shared" si="3"/>
        <v>0</v>
      </c>
      <c r="M24" s="293" t="s">
        <v>101</v>
      </c>
      <c r="N24" s="72">
        <f t="shared" si="4"/>
        <v>1</v>
      </c>
      <c r="O24" s="72">
        <v>1</v>
      </c>
      <c r="P24" s="57" t="s">
        <v>27</v>
      </c>
      <c r="Q24" s="58">
        <v>1</v>
      </c>
      <c r="R24" s="59">
        <v>2000</v>
      </c>
      <c r="S24" s="60" t="s">
        <v>187</v>
      </c>
      <c r="T24" s="60" t="s">
        <v>255</v>
      </c>
      <c r="U24" s="132" t="s">
        <v>189</v>
      </c>
      <c r="V24" s="77"/>
      <c r="W24" s="77"/>
    </row>
    <row r="25" spans="1:23" s="51" customFormat="1" ht="92.25" customHeight="1">
      <c r="A25" s="189" t="s">
        <v>67</v>
      </c>
      <c r="B25" s="289">
        <v>43867</v>
      </c>
      <c r="C25" s="290" t="s">
        <v>114</v>
      </c>
      <c r="D25" s="53"/>
      <c r="E25" s="54" t="s">
        <v>115</v>
      </c>
      <c r="F25" s="294" t="s">
        <v>116</v>
      </c>
      <c r="G25" s="55">
        <f t="shared" si="0"/>
        <v>487612.46</v>
      </c>
      <c r="H25" s="292">
        <v>487612.46</v>
      </c>
      <c r="I25" s="55">
        <f t="shared" si="1"/>
        <v>487612.46</v>
      </c>
      <c r="J25" s="292">
        <f>454096.7+ 33515.76</f>
        <v>487612.46</v>
      </c>
      <c r="K25" s="55">
        <f t="shared" si="2"/>
        <v>0</v>
      </c>
      <c r="L25" s="56">
        <f t="shared" si="3"/>
        <v>0</v>
      </c>
      <c r="M25" s="293" t="s">
        <v>101</v>
      </c>
      <c r="N25" s="72">
        <f t="shared" si="4"/>
        <v>1</v>
      </c>
      <c r="O25" s="72">
        <v>1</v>
      </c>
      <c r="P25" s="57" t="s">
        <v>27</v>
      </c>
      <c r="Q25" s="58">
        <v>1</v>
      </c>
      <c r="R25" s="59">
        <v>2500</v>
      </c>
      <c r="S25" s="60" t="s">
        <v>187</v>
      </c>
      <c r="T25" s="60" t="s">
        <v>255</v>
      </c>
      <c r="U25" s="132" t="s">
        <v>258</v>
      </c>
      <c r="V25" s="77"/>
      <c r="W25" s="77"/>
    </row>
    <row r="26" spans="1:23" s="51" customFormat="1" ht="116.25" customHeight="1">
      <c r="A26" s="189" t="s">
        <v>67</v>
      </c>
      <c r="B26" s="289">
        <v>43867</v>
      </c>
      <c r="C26" s="290" t="s">
        <v>117</v>
      </c>
      <c r="D26" s="53"/>
      <c r="E26" s="54" t="s">
        <v>118</v>
      </c>
      <c r="F26" s="294" t="s">
        <v>119</v>
      </c>
      <c r="G26" s="55">
        <f t="shared" si="0"/>
        <v>190625.72</v>
      </c>
      <c r="H26" s="292">
        <v>190625.72</v>
      </c>
      <c r="I26" s="55">
        <f t="shared" si="1"/>
        <v>190625.72</v>
      </c>
      <c r="J26" s="292">
        <f>184718.35+5907.37</f>
        <v>190625.72</v>
      </c>
      <c r="K26" s="55">
        <f t="shared" si="2"/>
        <v>0</v>
      </c>
      <c r="L26" s="56">
        <f t="shared" si="3"/>
        <v>0</v>
      </c>
      <c r="M26" s="293" t="s">
        <v>101</v>
      </c>
      <c r="N26" s="72">
        <f t="shared" si="4"/>
        <v>1</v>
      </c>
      <c r="O26" s="72">
        <v>1</v>
      </c>
      <c r="P26" s="57" t="s">
        <v>27</v>
      </c>
      <c r="Q26" s="58">
        <v>1</v>
      </c>
      <c r="R26" s="59">
        <v>1500</v>
      </c>
      <c r="S26" s="60" t="s">
        <v>187</v>
      </c>
      <c r="T26" s="60" t="s">
        <v>255</v>
      </c>
      <c r="U26" s="132" t="s">
        <v>190</v>
      </c>
      <c r="V26" s="77"/>
      <c r="W26" s="77"/>
    </row>
    <row r="27" spans="1:23" s="51" customFormat="1" ht="88.5" customHeight="1">
      <c r="A27" s="189" t="s">
        <v>67</v>
      </c>
      <c r="B27" s="289">
        <v>44062</v>
      </c>
      <c r="C27" s="290" t="s">
        <v>738</v>
      </c>
      <c r="D27" s="53"/>
      <c r="E27" s="54" t="s">
        <v>120</v>
      </c>
      <c r="F27" s="294" t="s">
        <v>121</v>
      </c>
      <c r="G27" s="55">
        <f t="shared" si="0"/>
        <v>129948.54</v>
      </c>
      <c r="H27" s="292">
        <v>129948.54</v>
      </c>
      <c r="I27" s="55">
        <f t="shared" si="1"/>
        <v>129948.54</v>
      </c>
      <c r="J27" s="292">
        <f>106955.45+22993.09</f>
        <v>129948.54</v>
      </c>
      <c r="K27" s="55">
        <f t="shared" si="2"/>
        <v>0</v>
      </c>
      <c r="L27" s="56">
        <f t="shared" si="3"/>
        <v>0</v>
      </c>
      <c r="M27" s="293" t="s">
        <v>101</v>
      </c>
      <c r="N27" s="72">
        <f t="shared" si="4"/>
        <v>1</v>
      </c>
      <c r="O27" s="72">
        <v>1</v>
      </c>
      <c r="P27" s="57" t="s">
        <v>27</v>
      </c>
      <c r="Q27" s="58">
        <v>1</v>
      </c>
      <c r="R27" s="59">
        <v>500</v>
      </c>
      <c r="S27" s="60" t="s">
        <v>187</v>
      </c>
      <c r="T27" s="60" t="s">
        <v>259</v>
      </c>
      <c r="U27" s="132" t="s">
        <v>260</v>
      </c>
      <c r="V27" s="77"/>
      <c r="W27" s="77"/>
    </row>
    <row r="28" spans="1:23" s="51" customFormat="1" ht="56.25" customHeight="1">
      <c r="A28" s="189" t="s">
        <v>67</v>
      </c>
      <c r="B28" s="289">
        <v>44102</v>
      </c>
      <c r="C28" s="290" t="s">
        <v>758</v>
      </c>
      <c r="D28" s="53"/>
      <c r="E28" s="54" t="s">
        <v>122</v>
      </c>
      <c r="F28" s="294" t="s">
        <v>123</v>
      </c>
      <c r="G28" s="55">
        <f t="shared" si="0"/>
        <v>56984.74</v>
      </c>
      <c r="H28" s="292">
        <v>56984.74</v>
      </c>
      <c r="I28" s="55">
        <f t="shared" si="1"/>
        <v>56984.7</v>
      </c>
      <c r="J28" s="292">
        <f>53712.92+3271.78</f>
        <v>56984.7</v>
      </c>
      <c r="K28" s="55">
        <f t="shared" si="2"/>
        <v>4.0000000000873115E-2</v>
      </c>
      <c r="L28" s="56">
        <f t="shared" si="3"/>
        <v>4.0000000000873115E-2</v>
      </c>
      <c r="M28" s="293" t="s">
        <v>101</v>
      </c>
      <c r="N28" s="72">
        <f t="shared" si="4"/>
        <v>0.9999992980576905</v>
      </c>
      <c r="O28" s="72">
        <v>1</v>
      </c>
      <c r="P28" s="57" t="s">
        <v>27</v>
      </c>
      <c r="Q28" s="58">
        <v>1</v>
      </c>
      <c r="R28" s="59">
        <v>2000</v>
      </c>
      <c r="S28" s="60" t="s">
        <v>187</v>
      </c>
      <c r="T28" s="60" t="s">
        <v>253</v>
      </c>
      <c r="U28" s="132" t="s">
        <v>410</v>
      </c>
      <c r="V28" s="77"/>
      <c r="W28" s="77"/>
    </row>
    <row r="29" spans="1:23" s="51" customFormat="1" ht="89.25" customHeight="1">
      <c r="A29" s="189" t="s">
        <v>67</v>
      </c>
      <c r="B29" s="289">
        <v>43867</v>
      </c>
      <c r="C29" s="290" t="s">
        <v>124</v>
      </c>
      <c r="D29" s="53"/>
      <c r="E29" s="54" t="s">
        <v>125</v>
      </c>
      <c r="F29" s="294" t="s">
        <v>126</v>
      </c>
      <c r="G29" s="55">
        <f t="shared" si="0"/>
        <v>3000000</v>
      </c>
      <c r="H29" s="292">
        <v>3000000</v>
      </c>
      <c r="I29" s="55">
        <f t="shared" si="1"/>
        <v>2314108.0099999998</v>
      </c>
      <c r="J29" s="292">
        <f>154280+371132+61692+905208.02+302812+152703.99+366280</f>
        <v>2314108.0099999998</v>
      </c>
      <c r="K29" s="55">
        <f t="shared" si="2"/>
        <v>685891.99000000022</v>
      </c>
      <c r="L29" s="56">
        <f t="shared" si="3"/>
        <v>685891.99000000022</v>
      </c>
      <c r="M29" s="293" t="s">
        <v>101</v>
      </c>
      <c r="N29" s="72">
        <f t="shared" si="4"/>
        <v>0.77136933666666663</v>
      </c>
      <c r="O29" s="72">
        <v>0.5071</v>
      </c>
      <c r="P29" s="57" t="s">
        <v>27</v>
      </c>
      <c r="Q29" s="58">
        <v>1</v>
      </c>
      <c r="R29" s="59">
        <v>877190</v>
      </c>
      <c r="S29" s="60" t="s">
        <v>187</v>
      </c>
      <c r="T29" s="60" t="s">
        <v>739</v>
      </c>
      <c r="U29" s="132" t="s">
        <v>739</v>
      </c>
      <c r="V29" s="77"/>
      <c r="W29" s="77"/>
    </row>
    <row r="30" spans="1:23" s="51" customFormat="1" ht="87.75" customHeight="1">
      <c r="A30" s="189" t="s">
        <v>67</v>
      </c>
      <c r="B30" s="289">
        <v>43867</v>
      </c>
      <c r="C30" s="290" t="s">
        <v>127</v>
      </c>
      <c r="D30" s="53"/>
      <c r="E30" s="54" t="s">
        <v>128</v>
      </c>
      <c r="F30" s="294" t="s">
        <v>129</v>
      </c>
      <c r="G30" s="55">
        <f t="shared" si="0"/>
        <v>517737.55</v>
      </c>
      <c r="H30" s="292">
        <v>517737.55</v>
      </c>
      <c r="I30" s="55">
        <f t="shared" si="1"/>
        <v>419784.57999999996</v>
      </c>
      <c r="J30" s="292">
        <f>125935.37+133484.34+52448.89+107915.98</f>
        <v>419784.57999999996</v>
      </c>
      <c r="K30" s="55">
        <f t="shared" si="2"/>
        <v>97952.97000000003</v>
      </c>
      <c r="L30" s="56">
        <f t="shared" si="3"/>
        <v>97952.97000000003</v>
      </c>
      <c r="M30" s="293" t="s">
        <v>101</v>
      </c>
      <c r="N30" s="72">
        <f t="shared" si="4"/>
        <v>0.81080574511159176</v>
      </c>
      <c r="O30" s="72">
        <v>1</v>
      </c>
      <c r="P30" s="57" t="s">
        <v>27</v>
      </c>
      <c r="Q30" s="58">
        <v>1</v>
      </c>
      <c r="R30" s="59">
        <v>500</v>
      </c>
      <c r="S30" s="60" t="s">
        <v>187</v>
      </c>
      <c r="T30" s="60" t="s">
        <v>338</v>
      </c>
      <c r="U30" s="132" t="s">
        <v>339</v>
      </c>
      <c r="V30" s="77"/>
      <c r="W30" s="77"/>
    </row>
    <row r="31" spans="1:23" s="51" customFormat="1" ht="77.25" customHeight="1">
      <c r="A31" s="189" t="s">
        <v>67</v>
      </c>
      <c r="B31" s="289">
        <v>43867</v>
      </c>
      <c r="C31" s="290" t="s">
        <v>130</v>
      </c>
      <c r="D31" s="53"/>
      <c r="E31" s="54" t="s">
        <v>131</v>
      </c>
      <c r="F31" s="294" t="s">
        <v>132</v>
      </c>
      <c r="G31" s="55">
        <f t="shared" si="0"/>
        <v>512039.23</v>
      </c>
      <c r="H31" s="292">
        <v>512039.23</v>
      </c>
      <c r="I31" s="55">
        <f t="shared" si="1"/>
        <v>499053.23</v>
      </c>
      <c r="J31" s="292">
        <f>149715.97+88907.68+155200.81+105228.77</f>
        <v>499053.23</v>
      </c>
      <c r="K31" s="55">
        <f t="shared" si="2"/>
        <v>12986</v>
      </c>
      <c r="L31" s="56">
        <f t="shared" si="3"/>
        <v>12986</v>
      </c>
      <c r="M31" s="293" t="s">
        <v>101</v>
      </c>
      <c r="N31" s="72">
        <f t="shared" si="4"/>
        <v>0.97463866196345927</v>
      </c>
      <c r="O31" s="72">
        <v>1</v>
      </c>
      <c r="P31" s="57" t="s">
        <v>27</v>
      </c>
      <c r="Q31" s="58">
        <v>1</v>
      </c>
      <c r="R31" s="59">
        <v>500</v>
      </c>
      <c r="S31" s="60" t="s">
        <v>187</v>
      </c>
      <c r="T31" s="60" t="s">
        <v>338</v>
      </c>
      <c r="U31" s="132" t="s">
        <v>340</v>
      </c>
      <c r="V31" s="77"/>
      <c r="W31" s="77"/>
    </row>
    <row r="32" spans="1:23" s="51" customFormat="1" ht="70.5" customHeight="1">
      <c r="A32" s="189" t="s">
        <v>67</v>
      </c>
      <c r="B32" s="289">
        <v>43867</v>
      </c>
      <c r="C32" s="290" t="s">
        <v>133</v>
      </c>
      <c r="D32" s="53"/>
      <c r="E32" s="54" t="s">
        <v>134</v>
      </c>
      <c r="F32" s="294" t="s">
        <v>135</v>
      </c>
      <c r="G32" s="55">
        <f t="shared" si="0"/>
        <v>2179464.4900000002</v>
      </c>
      <c r="H32" s="292">
        <v>2179464.4900000002</v>
      </c>
      <c r="I32" s="55">
        <f t="shared" si="1"/>
        <v>2179464.4899999998</v>
      </c>
      <c r="J32" s="292">
        <f>656547.01+661780.15+771472.82+89664.51</f>
        <v>2179464.4899999998</v>
      </c>
      <c r="K32" s="55">
        <f t="shared" si="2"/>
        <v>0</v>
      </c>
      <c r="L32" s="56">
        <f t="shared" si="3"/>
        <v>0</v>
      </c>
      <c r="M32" s="293" t="s">
        <v>101</v>
      </c>
      <c r="N32" s="72">
        <f t="shared" si="4"/>
        <v>0.99999999999999978</v>
      </c>
      <c r="O32" s="72">
        <v>1</v>
      </c>
      <c r="P32" s="57" t="s">
        <v>27</v>
      </c>
      <c r="Q32" s="58">
        <v>1</v>
      </c>
      <c r="R32" s="59">
        <v>5000</v>
      </c>
      <c r="S32" s="60" t="s">
        <v>187</v>
      </c>
      <c r="T32" s="60" t="s">
        <v>261</v>
      </c>
      <c r="U32" s="132" t="s">
        <v>411</v>
      </c>
      <c r="V32" s="77"/>
      <c r="W32" s="77"/>
    </row>
    <row r="33" spans="1:23" s="51" customFormat="1" ht="74.25" customHeight="1">
      <c r="A33" s="189" t="s">
        <v>67</v>
      </c>
      <c r="B33" s="289">
        <v>43880</v>
      </c>
      <c r="C33" s="290" t="s">
        <v>136</v>
      </c>
      <c r="D33" s="53"/>
      <c r="E33" s="54" t="s">
        <v>137</v>
      </c>
      <c r="F33" s="294" t="s">
        <v>341</v>
      </c>
      <c r="G33" s="55">
        <f t="shared" si="0"/>
        <v>66374.460000000006</v>
      </c>
      <c r="H33" s="292">
        <v>66374.460000000006</v>
      </c>
      <c r="I33" s="55">
        <f t="shared" si="1"/>
        <v>51932.14</v>
      </c>
      <c r="J33" s="292">
        <f>51932.14</f>
        <v>51932.14</v>
      </c>
      <c r="K33" s="55">
        <f t="shared" si="2"/>
        <v>14442.320000000007</v>
      </c>
      <c r="L33" s="56">
        <f t="shared" si="3"/>
        <v>14442.320000000007</v>
      </c>
      <c r="M33" s="293" t="s">
        <v>101</v>
      </c>
      <c r="N33" s="72">
        <f t="shared" si="4"/>
        <v>0.78241148779214165</v>
      </c>
      <c r="O33" s="72">
        <v>1</v>
      </c>
      <c r="P33" s="57" t="s">
        <v>27</v>
      </c>
      <c r="Q33" s="58">
        <v>1</v>
      </c>
      <c r="R33" s="59">
        <v>25000</v>
      </c>
      <c r="S33" s="60" t="s">
        <v>187</v>
      </c>
      <c r="T33" s="60" t="s">
        <v>342</v>
      </c>
      <c r="U33" s="132" t="s">
        <v>382</v>
      </c>
      <c r="V33" s="77"/>
      <c r="W33" s="77"/>
    </row>
    <row r="34" spans="1:23" s="51" customFormat="1" ht="101.25" customHeight="1">
      <c r="A34" s="189" t="s">
        <v>67</v>
      </c>
      <c r="B34" s="289">
        <v>43880</v>
      </c>
      <c r="C34" s="290" t="s">
        <v>138</v>
      </c>
      <c r="D34" s="53"/>
      <c r="E34" s="54" t="s">
        <v>139</v>
      </c>
      <c r="F34" s="294" t="s">
        <v>140</v>
      </c>
      <c r="G34" s="55">
        <f t="shared" si="0"/>
        <v>2338496.84</v>
      </c>
      <c r="H34" s="292">
        <v>2338496.84</v>
      </c>
      <c r="I34" s="55">
        <f t="shared" si="1"/>
        <v>1823955.08</v>
      </c>
      <c r="J34" s="292">
        <f>689853.32+1134101.76</f>
        <v>1823955.08</v>
      </c>
      <c r="K34" s="55">
        <f t="shared" si="2"/>
        <v>514541.75999999978</v>
      </c>
      <c r="L34" s="56">
        <f t="shared" si="3"/>
        <v>514541.75999999978</v>
      </c>
      <c r="M34" s="293" t="s">
        <v>101</v>
      </c>
      <c r="N34" s="72">
        <f t="shared" si="4"/>
        <v>0.77996901633615212</v>
      </c>
      <c r="O34" s="72">
        <v>1</v>
      </c>
      <c r="P34" s="57" t="s">
        <v>141</v>
      </c>
      <c r="Q34" s="58">
        <v>3323.07</v>
      </c>
      <c r="R34" s="59">
        <v>20000</v>
      </c>
      <c r="S34" s="60" t="s">
        <v>187</v>
      </c>
      <c r="T34" s="60" t="s">
        <v>191</v>
      </c>
      <c r="U34" s="132" t="s">
        <v>383</v>
      </c>
      <c r="V34" s="77"/>
      <c r="W34" s="77"/>
    </row>
    <row r="35" spans="1:23" s="51" customFormat="1" ht="102" customHeight="1">
      <c r="A35" s="189" t="s">
        <v>67</v>
      </c>
      <c r="B35" s="289">
        <v>43880</v>
      </c>
      <c r="C35" s="290" t="s">
        <v>142</v>
      </c>
      <c r="D35" s="53"/>
      <c r="E35" s="54" t="s">
        <v>143</v>
      </c>
      <c r="F35" s="294" t="s">
        <v>144</v>
      </c>
      <c r="G35" s="55">
        <f t="shared" si="0"/>
        <v>2107362.98</v>
      </c>
      <c r="H35" s="292">
        <v>2107362.98</v>
      </c>
      <c r="I35" s="55">
        <f t="shared" si="1"/>
        <v>1487644.4300000002</v>
      </c>
      <c r="J35" s="292">
        <f>629764.31+857880.12</f>
        <v>1487644.4300000002</v>
      </c>
      <c r="K35" s="55">
        <f t="shared" si="2"/>
        <v>619718.54999999981</v>
      </c>
      <c r="L35" s="56">
        <f t="shared" si="3"/>
        <v>619718.54999999981</v>
      </c>
      <c r="M35" s="293" t="s">
        <v>101</v>
      </c>
      <c r="N35" s="72">
        <f t="shared" si="4"/>
        <v>0.70592700171661937</v>
      </c>
      <c r="O35" s="72">
        <v>1</v>
      </c>
      <c r="P35" s="57" t="s">
        <v>141</v>
      </c>
      <c r="Q35" s="58">
        <v>2987.55</v>
      </c>
      <c r="R35" s="59">
        <v>20000</v>
      </c>
      <c r="S35" s="60" t="s">
        <v>187</v>
      </c>
      <c r="T35" s="60" t="s">
        <v>343</v>
      </c>
      <c r="U35" s="132" t="s">
        <v>384</v>
      </c>
      <c r="V35" s="77"/>
      <c r="W35" s="77"/>
    </row>
    <row r="36" spans="1:23" s="51" customFormat="1" ht="97.5" customHeight="1">
      <c r="A36" s="189" t="s">
        <v>145</v>
      </c>
      <c r="B36" s="289">
        <v>43880</v>
      </c>
      <c r="C36" s="290" t="s">
        <v>146</v>
      </c>
      <c r="D36" s="53"/>
      <c r="E36" s="54" t="s">
        <v>147</v>
      </c>
      <c r="F36" s="294" t="s">
        <v>148</v>
      </c>
      <c r="G36" s="55">
        <f t="shared" si="0"/>
        <v>1491331.52</v>
      </c>
      <c r="H36" s="292">
        <v>1491331.52</v>
      </c>
      <c r="I36" s="55">
        <f t="shared" si="1"/>
        <v>1076654.67</v>
      </c>
      <c r="J36" s="292">
        <f>437783.48+638871.19</f>
        <v>1076654.67</v>
      </c>
      <c r="K36" s="55">
        <f t="shared" si="2"/>
        <v>414676.85000000009</v>
      </c>
      <c r="L36" s="56">
        <f t="shared" si="3"/>
        <v>414676.85000000009</v>
      </c>
      <c r="M36" s="293" t="s">
        <v>101</v>
      </c>
      <c r="N36" s="72">
        <f t="shared" si="4"/>
        <v>0.72194187245502595</v>
      </c>
      <c r="O36" s="72">
        <v>1</v>
      </c>
      <c r="P36" s="57" t="s">
        <v>141</v>
      </c>
      <c r="Q36" s="58">
        <v>2093.25</v>
      </c>
      <c r="R36" s="59">
        <v>20000</v>
      </c>
      <c r="S36" s="60" t="s">
        <v>187</v>
      </c>
      <c r="T36" s="60" t="s">
        <v>204</v>
      </c>
      <c r="U36" s="132" t="s">
        <v>385</v>
      </c>
      <c r="V36" s="77"/>
      <c r="W36" s="77"/>
    </row>
    <row r="37" spans="1:23" s="51" customFormat="1" ht="99" customHeight="1">
      <c r="A37" s="189" t="s">
        <v>145</v>
      </c>
      <c r="B37" s="289">
        <v>44062</v>
      </c>
      <c r="C37" s="290" t="s">
        <v>740</v>
      </c>
      <c r="D37" s="53"/>
      <c r="E37" s="54" t="s">
        <v>149</v>
      </c>
      <c r="F37" s="294" t="s">
        <v>150</v>
      </c>
      <c r="G37" s="55">
        <f t="shared" si="0"/>
        <v>946632.81</v>
      </c>
      <c r="H37" s="292">
        <v>946632.81</v>
      </c>
      <c r="I37" s="55">
        <f t="shared" si="1"/>
        <v>946632.81</v>
      </c>
      <c r="J37" s="292">
        <f>283989.84+656143.76+6499.21</f>
        <v>946632.81</v>
      </c>
      <c r="K37" s="55">
        <f t="shared" si="2"/>
        <v>0</v>
      </c>
      <c r="L37" s="56">
        <f t="shared" si="3"/>
        <v>0</v>
      </c>
      <c r="M37" s="293" t="s">
        <v>101</v>
      </c>
      <c r="N37" s="72">
        <f t="shared" si="4"/>
        <v>1</v>
      </c>
      <c r="O37" s="72">
        <v>1</v>
      </c>
      <c r="P37" s="57" t="s">
        <v>141</v>
      </c>
      <c r="Q37" s="58">
        <v>1583.75</v>
      </c>
      <c r="R37" s="59">
        <v>20000</v>
      </c>
      <c r="S37" s="60" t="s">
        <v>187</v>
      </c>
      <c r="T37" s="60" t="s">
        <v>191</v>
      </c>
      <c r="U37" s="132" t="s">
        <v>192</v>
      </c>
      <c r="V37" s="77"/>
      <c r="W37" s="77"/>
    </row>
    <row r="38" spans="1:23" s="51" customFormat="1" ht="111" customHeight="1">
      <c r="A38" s="189" t="s">
        <v>67</v>
      </c>
      <c r="B38" s="289">
        <v>44097</v>
      </c>
      <c r="C38" s="290" t="s">
        <v>759</v>
      </c>
      <c r="D38" s="53"/>
      <c r="E38" s="54" t="s">
        <v>151</v>
      </c>
      <c r="F38" s="294" t="s">
        <v>760</v>
      </c>
      <c r="G38" s="55">
        <f t="shared" si="0"/>
        <v>2346664.37</v>
      </c>
      <c r="H38" s="292">
        <v>2346664.37</v>
      </c>
      <c r="I38" s="55">
        <f t="shared" si="1"/>
        <v>2346664.37</v>
      </c>
      <c r="J38" s="292">
        <f>703999.33+916627.75+688570.58+37466.71</f>
        <v>2346664.37</v>
      </c>
      <c r="K38" s="55">
        <f t="shared" si="2"/>
        <v>0</v>
      </c>
      <c r="L38" s="56">
        <f t="shared" si="3"/>
        <v>0</v>
      </c>
      <c r="M38" s="293" t="s">
        <v>101</v>
      </c>
      <c r="N38" s="72">
        <f t="shared" si="4"/>
        <v>1</v>
      </c>
      <c r="O38" s="72">
        <v>1</v>
      </c>
      <c r="P38" s="57" t="s">
        <v>141</v>
      </c>
      <c r="Q38" s="58">
        <v>3868.74</v>
      </c>
      <c r="R38" s="59">
        <v>300000</v>
      </c>
      <c r="S38" s="60" t="s">
        <v>187</v>
      </c>
      <c r="T38" s="60" t="s">
        <v>262</v>
      </c>
      <c r="U38" s="132" t="s">
        <v>399</v>
      </c>
      <c r="V38" s="77"/>
      <c r="W38" s="77"/>
    </row>
    <row r="39" spans="1:23" s="51" customFormat="1" ht="87.75" customHeight="1">
      <c r="A39" s="189" t="s">
        <v>67</v>
      </c>
      <c r="B39" s="289">
        <v>44104</v>
      </c>
      <c r="C39" s="290" t="s">
        <v>761</v>
      </c>
      <c r="D39" s="53"/>
      <c r="E39" s="54" t="s">
        <v>152</v>
      </c>
      <c r="F39" s="294" t="s">
        <v>153</v>
      </c>
      <c r="G39" s="55">
        <f t="shared" si="0"/>
        <v>2429652.38</v>
      </c>
      <c r="H39" s="292">
        <v>2429652.38</v>
      </c>
      <c r="I39" s="55">
        <f t="shared" si="1"/>
        <v>2429652.38</v>
      </c>
      <c r="J39" s="292">
        <f>1672731.03+735280.62+21640.73</f>
        <v>2429652.38</v>
      </c>
      <c r="K39" s="55">
        <f t="shared" si="2"/>
        <v>0</v>
      </c>
      <c r="L39" s="56">
        <f t="shared" si="3"/>
        <v>0</v>
      </c>
      <c r="M39" s="293" t="s">
        <v>101</v>
      </c>
      <c r="N39" s="72">
        <f t="shared" si="4"/>
        <v>1</v>
      </c>
      <c r="O39" s="72">
        <v>0.996</v>
      </c>
      <c r="P39" s="57" t="s">
        <v>141</v>
      </c>
      <c r="Q39" s="58">
        <v>4609.9799999999996</v>
      </c>
      <c r="R39" s="59">
        <v>300000</v>
      </c>
      <c r="S39" s="60" t="s">
        <v>187</v>
      </c>
      <c r="T39" s="60" t="s">
        <v>191</v>
      </c>
      <c r="U39" s="132" t="s">
        <v>398</v>
      </c>
      <c r="V39" s="77"/>
      <c r="W39" s="77"/>
    </row>
    <row r="40" spans="1:23" s="51" customFormat="1" ht="112.5" customHeight="1">
      <c r="A40" s="189" t="s">
        <v>67</v>
      </c>
      <c r="B40" s="289">
        <v>44097</v>
      </c>
      <c r="C40" s="290" t="s">
        <v>762</v>
      </c>
      <c r="D40" s="53"/>
      <c r="E40" s="54" t="s">
        <v>154</v>
      </c>
      <c r="F40" s="294" t="s">
        <v>763</v>
      </c>
      <c r="G40" s="55">
        <f t="shared" si="0"/>
        <v>2203591.94</v>
      </c>
      <c r="H40" s="292">
        <v>2203591.94</v>
      </c>
      <c r="I40" s="55">
        <f t="shared" si="1"/>
        <v>2203591.9399999995</v>
      </c>
      <c r="J40" s="292">
        <f>661077.59+1199707.79+340455.05+2351.51</f>
        <v>2203591.9399999995</v>
      </c>
      <c r="K40" s="55">
        <f t="shared" si="2"/>
        <v>0</v>
      </c>
      <c r="L40" s="56">
        <f t="shared" si="3"/>
        <v>0</v>
      </c>
      <c r="M40" s="293" t="s">
        <v>101</v>
      </c>
      <c r="N40" s="72">
        <f t="shared" si="4"/>
        <v>0.99999999999999978</v>
      </c>
      <c r="O40" s="72">
        <v>0.999</v>
      </c>
      <c r="P40" s="57" t="s">
        <v>141</v>
      </c>
      <c r="Q40" s="58">
        <v>4381.47</v>
      </c>
      <c r="R40" s="59">
        <v>300000</v>
      </c>
      <c r="S40" s="60" t="s">
        <v>187</v>
      </c>
      <c r="T40" s="60" t="s">
        <v>263</v>
      </c>
      <c r="U40" s="132" t="s">
        <v>386</v>
      </c>
      <c r="V40" s="77"/>
      <c r="W40" s="77"/>
    </row>
    <row r="41" spans="1:23" s="51" customFormat="1" ht="79.5" customHeight="1">
      <c r="A41" s="189" t="s">
        <v>67</v>
      </c>
      <c r="B41" s="289">
        <v>43880</v>
      </c>
      <c r="C41" s="290" t="s">
        <v>364</v>
      </c>
      <c r="D41" s="53"/>
      <c r="E41" s="54" t="s">
        <v>155</v>
      </c>
      <c r="F41" s="294" t="s">
        <v>156</v>
      </c>
      <c r="G41" s="55">
        <f t="shared" si="0"/>
        <v>1890142.96</v>
      </c>
      <c r="H41" s="292">
        <v>1890142.96</v>
      </c>
      <c r="I41" s="55">
        <f t="shared" si="1"/>
        <v>1876124.27</v>
      </c>
      <c r="J41" s="292">
        <f>562837.28+340081.03+396258.23+507953.1+68994.63</f>
        <v>1876124.27</v>
      </c>
      <c r="K41" s="55">
        <f t="shared" si="2"/>
        <v>14018.689999999944</v>
      </c>
      <c r="L41" s="56">
        <f t="shared" si="3"/>
        <v>14018.689999999944</v>
      </c>
      <c r="M41" s="293" t="s">
        <v>101</v>
      </c>
      <c r="N41" s="72">
        <f t="shared" si="4"/>
        <v>0.99258326470713099</v>
      </c>
      <c r="O41" s="72">
        <v>1</v>
      </c>
      <c r="P41" s="57" t="s">
        <v>27</v>
      </c>
      <c r="Q41" s="58">
        <v>1</v>
      </c>
      <c r="R41" s="59">
        <v>2000</v>
      </c>
      <c r="S41" s="60" t="s">
        <v>187</v>
      </c>
      <c r="T41" s="60" t="s">
        <v>193</v>
      </c>
      <c r="U41" s="132" t="s">
        <v>194</v>
      </c>
      <c r="V41" s="77"/>
      <c r="W41" s="77"/>
    </row>
    <row r="42" spans="1:23" s="120" customFormat="1" ht="89.25" customHeight="1">
      <c r="A42" s="189" t="s">
        <v>67</v>
      </c>
      <c r="B42" s="289">
        <v>43880</v>
      </c>
      <c r="C42" s="290" t="s">
        <v>157</v>
      </c>
      <c r="D42" s="53"/>
      <c r="E42" s="54" t="s">
        <v>158</v>
      </c>
      <c r="F42" s="291" t="s">
        <v>159</v>
      </c>
      <c r="G42" s="55">
        <f t="shared" si="0"/>
        <v>1004731.53</v>
      </c>
      <c r="H42" s="292">
        <v>1004731.53</v>
      </c>
      <c r="I42" s="55">
        <f t="shared" si="1"/>
        <v>907318.25</v>
      </c>
      <c r="J42" s="292">
        <f>301397.89+537151.8+68768.56</f>
        <v>907318.25</v>
      </c>
      <c r="K42" s="55">
        <f t="shared" si="2"/>
        <v>97413.280000000028</v>
      </c>
      <c r="L42" s="56">
        <f t="shared" si="3"/>
        <v>97413.280000000028</v>
      </c>
      <c r="M42" s="293" t="s">
        <v>101</v>
      </c>
      <c r="N42" s="72">
        <f t="shared" si="4"/>
        <v>0.90304546329903668</v>
      </c>
      <c r="O42" s="72">
        <v>1</v>
      </c>
      <c r="P42" s="57" t="s">
        <v>27</v>
      </c>
      <c r="Q42" s="58">
        <v>1</v>
      </c>
      <c r="R42" s="59">
        <v>2000</v>
      </c>
      <c r="S42" s="60" t="s">
        <v>187</v>
      </c>
      <c r="T42" s="60" t="s">
        <v>195</v>
      </c>
      <c r="U42" s="132" t="s">
        <v>196</v>
      </c>
      <c r="V42" s="119"/>
      <c r="W42" s="119"/>
    </row>
    <row r="43" spans="1:23" s="120" customFormat="1" ht="84" customHeight="1">
      <c r="A43" s="189" t="s">
        <v>67</v>
      </c>
      <c r="B43" s="289">
        <v>44077</v>
      </c>
      <c r="C43" s="290" t="s">
        <v>764</v>
      </c>
      <c r="D43" s="53"/>
      <c r="E43" s="54" t="s">
        <v>160</v>
      </c>
      <c r="F43" s="291" t="s">
        <v>161</v>
      </c>
      <c r="G43" s="55">
        <f t="shared" si="0"/>
        <v>2429330.29</v>
      </c>
      <c r="H43" s="292">
        <v>2429330.29</v>
      </c>
      <c r="I43" s="55">
        <f t="shared" si="1"/>
        <v>2429330.29</v>
      </c>
      <c r="J43" s="292">
        <f>1351580.28+507624.82+556168.6+13956.59</f>
        <v>2429330.29</v>
      </c>
      <c r="K43" s="55">
        <f t="shared" si="2"/>
        <v>0</v>
      </c>
      <c r="L43" s="56">
        <f t="shared" si="3"/>
        <v>0</v>
      </c>
      <c r="M43" s="293" t="s">
        <v>101</v>
      </c>
      <c r="N43" s="72">
        <f t="shared" si="4"/>
        <v>1</v>
      </c>
      <c r="O43" s="72">
        <v>1</v>
      </c>
      <c r="P43" s="57" t="s">
        <v>27</v>
      </c>
      <c r="Q43" s="58">
        <v>1</v>
      </c>
      <c r="R43" s="59">
        <v>2000</v>
      </c>
      <c r="S43" s="60" t="s">
        <v>201</v>
      </c>
      <c r="T43" s="60" t="s">
        <v>741</v>
      </c>
      <c r="U43" s="132" t="s">
        <v>380</v>
      </c>
      <c r="V43" s="119"/>
      <c r="W43" s="119"/>
    </row>
    <row r="44" spans="1:23" s="120" customFormat="1" ht="84" customHeight="1">
      <c r="A44" s="189" t="s">
        <v>67</v>
      </c>
      <c r="B44" s="289">
        <v>44077</v>
      </c>
      <c r="C44" s="290" t="s">
        <v>765</v>
      </c>
      <c r="D44" s="53"/>
      <c r="E44" s="54" t="s">
        <v>162</v>
      </c>
      <c r="F44" s="291" t="s">
        <v>163</v>
      </c>
      <c r="G44" s="55">
        <f t="shared" si="0"/>
        <v>834000</v>
      </c>
      <c r="H44" s="292">
        <v>834000</v>
      </c>
      <c r="I44" s="55">
        <f t="shared" si="1"/>
        <v>834000</v>
      </c>
      <c r="J44" s="292">
        <v>834000</v>
      </c>
      <c r="K44" s="55">
        <f t="shared" si="2"/>
        <v>0</v>
      </c>
      <c r="L44" s="56">
        <f t="shared" si="3"/>
        <v>0</v>
      </c>
      <c r="M44" s="293" t="s">
        <v>101</v>
      </c>
      <c r="N44" s="72">
        <f t="shared" si="4"/>
        <v>1</v>
      </c>
      <c r="O44" s="72">
        <v>1</v>
      </c>
      <c r="P44" s="57" t="s">
        <v>27</v>
      </c>
      <c r="Q44" s="58">
        <v>1</v>
      </c>
      <c r="R44" s="59">
        <v>2000</v>
      </c>
      <c r="S44" s="60" t="s">
        <v>187</v>
      </c>
      <c r="T44" s="60" t="s">
        <v>197</v>
      </c>
      <c r="U44" s="132" t="s">
        <v>198</v>
      </c>
      <c r="V44" s="119"/>
      <c r="W44" s="119"/>
    </row>
    <row r="45" spans="1:23" s="120" customFormat="1" ht="84" customHeight="1">
      <c r="A45" s="189" t="s">
        <v>67</v>
      </c>
      <c r="B45" s="289">
        <v>43880</v>
      </c>
      <c r="C45" s="290" t="s">
        <v>164</v>
      </c>
      <c r="D45" s="53"/>
      <c r="E45" s="54" t="s">
        <v>165</v>
      </c>
      <c r="F45" s="291" t="s">
        <v>166</v>
      </c>
      <c r="G45" s="55">
        <f t="shared" si="0"/>
        <v>718836.37</v>
      </c>
      <c r="H45" s="292">
        <v>718836.37</v>
      </c>
      <c r="I45" s="55">
        <f t="shared" si="1"/>
        <v>718836.37000000011</v>
      </c>
      <c r="J45" s="292">
        <f>215650.91+263626.39+177477.15+62081.92</f>
        <v>718836.37000000011</v>
      </c>
      <c r="K45" s="55">
        <f t="shared" si="2"/>
        <v>0</v>
      </c>
      <c r="L45" s="56">
        <f t="shared" si="3"/>
        <v>0</v>
      </c>
      <c r="M45" s="293" t="s">
        <v>101</v>
      </c>
      <c r="N45" s="72">
        <f t="shared" si="4"/>
        <v>1.0000000000000002</v>
      </c>
      <c r="O45" s="72">
        <v>1</v>
      </c>
      <c r="P45" s="57" t="s">
        <v>27</v>
      </c>
      <c r="Q45" s="58">
        <v>1</v>
      </c>
      <c r="R45" s="59">
        <v>1500</v>
      </c>
      <c r="S45" s="60" t="s">
        <v>187</v>
      </c>
      <c r="T45" s="60" t="s">
        <v>199</v>
      </c>
      <c r="U45" s="132" t="s">
        <v>200</v>
      </c>
      <c r="V45" s="119"/>
      <c r="W45" s="119"/>
    </row>
    <row r="46" spans="1:23" s="120" customFormat="1" ht="84" customHeight="1">
      <c r="A46" s="189" t="s">
        <v>67</v>
      </c>
      <c r="B46" s="289">
        <v>43880</v>
      </c>
      <c r="C46" s="290" t="s">
        <v>167</v>
      </c>
      <c r="D46" s="53"/>
      <c r="E46" s="54" t="s">
        <v>168</v>
      </c>
      <c r="F46" s="291" t="s">
        <v>169</v>
      </c>
      <c r="G46" s="55">
        <f t="shared" si="0"/>
        <v>1295433.07</v>
      </c>
      <c r="H46" s="292">
        <v>1295433.07</v>
      </c>
      <c r="I46" s="55">
        <f t="shared" si="1"/>
        <v>1295433.07</v>
      </c>
      <c r="J46" s="292">
        <f>380924.92+510232.38+131556.02+122455.77+150263.98</f>
        <v>1295433.07</v>
      </c>
      <c r="K46" s="55">
        <f t="shared" si="2"/>
        <v>0</v>
      </c>
      <c r="L46" s="56">
        <f t="shared" si="3"/>
        <v>0</v>
      </c>
      <c r="M46" s="293" t="s">
        <v>101</v>
      </c>
      <c r="N46" s="72">
        <f t="shared" si="4"/>
        <v>1</v>
      </c>
      <c r="O46" s="72">
        <v>1</v>
      </c>
      <c r="P46" s="57" t="s">
        <v>27</v>
      </c>
      <c r="Q46" s="58">
        <v>1</v>
      </c>
      <c r="R46" s="59">
        <v>2500</v>
      </c>
      <c r="S46" s="60" t="s">
        <v>201</v>
      </c>
      <c r="T46" s="60" t="s">
        <v>202</v>
      </c>
      <c r="U46" s="132" t="s">
        <v>203</v>
      </c>
      <c r="V46" s="119"/>
      <c r="W46" s="119"/>
    </row>
    <row r="47" spans="1:23" s="120" customFormat="1" ht="84" customHeight="1">
      <c r="A47" s="189" t="s">
        <v>67</v>
      </c>
      <c r="B47" s="289">
        <v>43880</v>
      </c>
      <c r="C47" s="290" t="s">
        <v>170</v>
      </c>
      <c r="D47" s="53"/>
      <c r="E47" s="54" t="s">
        <v>171</v>
      </c>
      <c r="F47" s="291" t="s">
        <v>172</v>
      </c>
      <c r="G47" s="55">
        <f t="shared" si="0"/>
        <v>1401239.53</v>
      </c>
      <c r="H47" s="292">
        <v>1401239.53</v>
      </c>
      <c r="I47" s="55">
        <f t="shared" si="1"/>
        <v>1050659.1200000001</v>
      </c>
      <c r="J47" s="292">
        <f>413592.04+580963.25+56103.83</f>
        <v>1050659.1200000001</v>
      </c>
      <c r="K47" s="55">
        <f t="shared" si="2"/>
        <v>350580.40999999992</v>
      </c>
      <c r="L47" s="56">
        <f t="shared" si="3"/>
        <v>350580.40999999992</v>
      </c>
      <c r="M47" s="293" t="s">
        <v>101</v>
      </c>
      <c r="N47" s="72">
        <f t="shared" si="4"/>
        <v>0.74980693700526713</v>
      </c>
      <c r="O47" s="72">
        <v>1</v>
      </c>
      <c r="P47" s="57" t="s">
        <v>141</v>
      </c>
      <c r="Q47" s="58">
        <v>1430</v>
      </c>
      <c r="R47" s="59">
        <v>2500</v>
      </c>
      <c r="S47" s="60" t="s">
        <v>201</v>
      </c>
      <c r="T47" s="60" t="s">
        <v>204</v>
      </c>
      <c r="U47" s="132" t="s">
        <v>205</v>
      </c>
      <c r="V47" s="119"/>
      <c r="W47" s="119"/>
    </row>
    <row r="48" spans="1:23" s="120" customFormat="1" ht="84" customHeight="1">
      <c r="A48" s="189" t="s">
        <v>67</v>
      </c>
      <c r="B48" s="289">
        <v>44062</v>
      </c>
      <c r="C48" s="290" t="s">
        <v>742</v>
      </c>
      <c r="D48" s="53"/>
      <c r="E48" s="54" t="s">
        <v>173</v>
      </c>
      <c r="F48" s="291" t="s">
        <v>174</v>
      </c>
      <c r="G48" s="55">
        <f t="shared" si="0"/>
        <v>790498.82</v>
      </c>
      <c r="H48" s="292">
        <v>790498.82</v>
      </c>
      <c r="I48" s="55">
        <f t="shared" si="1"/>
        <v>790498.82000000007</v>
      </c>
      <c r="J48" s="292">
        <f>237149.65+437849.35+115499.82</f>
        <v>790498.82000000007</v>
      </c>
      <c r="K48" s="55">
        <f t="shared" si="2"/>
        <v>0</v>
      </c>
      <c r="L48" s="56">
        <f t="shared" si="3"/>
        <v>0</v>
      </c>
      <c r="M48" s="293" t="s">
        <v>101</v>
      </c>
      <c r="N48" s="72">
        <f t="shared" si="4"/>
        <v>1.0000000000000002</v>
      </c>
      <c r="O48" s="72">
        <v>1</v>
      </c>
      <c r="P48" s="57" t="s">
        <v>27</v>
      </c>
      <c r="Q48" s="58">
        <v>956.98</v>
      </c>
      <c r="R48" s="59">
        <v>500000</v>
      </c>
      <c r="S48" s="60" t="s">
        <v>187</v>
      </c>
      <c r="T48" s="60" t="s">
        <v>204</v>
      </c>
      <c r="U48" s="132" t="s">
        <v>206</v>
      </c>
      <c r="V48" s="119"/>
      <c r="W48" s="119"/>
    </row>
    <row r="49" spans="1:23" s="120" customFormat="1" ht="84" customHeight="1">
      <c r="A49" s="189" t="s">
        <v>67</v>
      </c>
      <c r="B49" s="289">
        <v>43880</v>
      </c>
      <c r="C49" s="290" t="s">
        <v>175</v>
      </c>
      <c r="D49" s="53"/>
      <c r="E49" s="54" t="s">
        <v>176</v>
      </c>
      <c r="F49" s="291" t="s">
        <v>177</v>
      </c>
      <c r="G49" s="55">
        <f t="shared" si="0"/>
        <v>2498275.33</v>
      </c>
      <c r="H49" s="292">
        <v>2498275.33</v>
      </c>
      <c r="I49" s="55">
        <f t="shared" si="1"/>
        <v>1962542.42</v>
      </c>
      <c r="J49" s="292">
        <f>740946.39+938795.41+112323.95+170476.67</f>
        <v>1962542.42</v>
      </c>
      <c r="K49" s="55">
        <f t="shared" si="2"/>
        <v>535732.91000000015</v>
      </c>
      <c r="L49" s="56">
        <f t="shared" si="3"/>
        <v>535732.91000000015</v>
      </c>
      <c r="M49" s="293" t="s">
        <v>101</v>
      </c>
      <c r="N49" s="72">
        <f t="shared" si="4"/>
        <v>0.78555889994718875</v>
      </c>
      <c r="O49" s="72">
        <v>1</v>
      </c>
      <c r="P49" s="57" t="s">
        <v>27</v>
      </c>
      <c r="Q49" s="58">
        <v>1</v>
      </c>
      <c r="R49" s="59">
        <v>2500</v>
      </c>
      <c r="S49" s="60" t="s">
        <v>201</v>
      </c>
      <c r="T49" s="60" t="s">
        <v>207</v>
      </c>
      <c r="U49" s="132" t="s">
        <v>208</v>
      </c>
      <c r="V49" s="119"/>
      <c r="W49" s="119"/>
    </row>
    <row r="50" spans="1:23" s="120" customFormat="1" ht="84" customHeight="1">
      <c r="A50" s="189" t="s">
        <v>67</v>
      </c>
      <c r="B50" s="289">
        <v>43880</v>
      </c>
      <c r="C50" s="290" t="s">
        <v>365</v>
      </c>
      <c r="D50" s="53"/>
      <c r="E50" s="54" t="s">
        <v>178</v>
      </c>
      <c r="F50" s="291" t="s">
        <v>179</v>
      </c>
      <c r="G50" s="55">
        <f t="shared" si="0"/>
        <v>2098070.71</v>
      </c>
      <c r="H50" s="292">
        <v>2098070.71</v>
      </c>
      <c r="I50" s="55">
        <f t="shared" si="1"/>
        <v>2098070.71</v>
      </c>
      <c r="J50" s="292">
        <f>2008163.26+89907.45</f>
        <v>2098070.71</v>
      </c>
      <c r="K50" s="55">
        <f t="shared" si="2"/>
        <v>0</v>
      </c>
      <c r="L50" s="56">
        <f t="shared" si="3"/>
        <v>0</v>
      </c>
      <c r="M50" s="293" t="s">
        <v>101</v>
      </c>
      <c r="N50" s="72">
        <f t="shared" si="4"/>
        <v>1</v>
      </c>
      <c r="O50" s="72">
        <v>1</v>
      </c>
      <c r="P50" s="57" t="s">
        <v>27</v>
      </c>
      <c r="Q50" s="58">
        <v>1</v>
      </c>
      <c r="R50" s="59">
        <v>2000</v>
      </c>
      <c r="S50" s="60" t="s">
        <v>187</v>
      </c>
      <c r="T50" s="60" t="s">
        <v>264</v>
      </c>
      <c r="U50" s="132" t="s">
        <v>387</v>
      </c>
      <c r="V50" s="119"/>
      <c r="W50" s="119"/>
    </row>
    <row r="51" spans="1:23" s="120" customFormat="1" ht="84" customHeight="1">
      <c r="A51" s="189" t="s">
        <v>67</v>
      </c>
      <c r="B51" s="289">
        <v>43880</v>
      </c>
      <c r="C51" s="290" t="s">
        <v>366</v>
      </c>
      <c r="D51" s="53"/>
      <c r="E51" s="54" t="s">
        <v>180</v>
      </c>
      <c r="F51" s="291" t="s">
        <v>181</v>
      </c>
      <c r="G51" s="55">
        <f t="shared" si="0"/>
        <v>753080.18</v>
      </c>
      <c r="H51" s="292">
        <v>753080.18</v>
      </c>
      <c r="I51" s="55">
        <f t="shared" si="1"/>
        <v>753080.17999999993</v>
      </c>
      <c r="J51" s="292">
        <f>737790.95+15289.23</f>
        <v>753080.17999999993</v>
      </c>
      <c r="K51" s="55">
        <f t="shared" si="2"/>
        <v>0</v>
      </c>
      <c r="L51" s="56">
        <f t="shared" si="3"/>
        <v>0</v>
      </c>
      <c r="M51" s="293" t="s">
        <v>101</v>
      </c>
      <c r="N51" s="72">
        <f t="shared" si="4"/>
        <v>0.99999999999999989</v>
      </c>
      <c r="O51" s="72">
        <v>1</v>
      </c>
      <c r="P51" s="57" t="s">
        <v>27</v>
      </c>
      <c r="Q51" s="58">
        <v>1</v>
      </c>
      <c r="R51" s="59">
        <v>2000</v>
      </c>
      <c r="S51" s="60" t="s">
        <v>187</v>
      </c>
      <c r="T51" s="60" t="s">
        <v>344</v>
      </c>
      <c r="U51" s="132" t="s">
        <v>388</v>
      </c>
      <c r="V51" s="119"/>
      <c r="W51" s="119"/>
    </row>
    <row r="52" spans="1:23" s="120" customFormat="1" ht="84" customHeight="1">
      <c r="A52" s="189" t="s">
        <v>67</v>
      </c>
      <c r="B52" s="289">
        <v>44062</v>
      </c>
      <c r="C52" s="290" t="s">
        <v>743</v>
      </c>
      <c r="D52" s="53"/>
      <c r="E52" s="54" t="s">
        <v>182</v>
      </c>
      <c r="F52" s="291" t="s">
        <v>181</v>
      </c>
      <c r="G52" s="55">
        <f t="shared" si="0"/>
        <v>946214.91</v>
      </c>
      <c r="H52" s="292">
        <v>946214.91</v>
      </c>
      <c r="I52" s="55">
        <f t="shared" si="1"/>
        <v>946214.90999999992</v>
      </c>
      <c r="J52" s="292">
        <f>283864.47+583706.48+78643.96</f>
        <v>946214.90999999992</v>
      </c>
      <c r="K52" s="55">
        <f t="shared" si="2"/>
        <v>0</v>
      </c>
      <c r="L52" s="56">
        <f t="shared" si="3"/>
        <v>0</v>
      </c>
      <c r="M52" s="293" t="s">
        <v>101</v>
      </c>
      <c r="N52" s="72">
        <f t="shared" si="4"/>
        <v>0.99999999999999989</v>
      </c>
      <c r="O52" s="72">
        <v>1</v>
      </c>
      <c r="P52" s="57" t="s">
        <v>27</v>
      </c>
      <c r="Q52" s="58">
        <v>1</v>
      </c>
      <c r="R52" s="59">
        <v>2000</v>
      </c>
      <c r="S52" s="60" t="s">
        <v>187</v>
      </c>
      <c r="T52" s="60" t="s">
        <v>345</v>
      </c>
      <c r="U52" s="132" t="s">
        <v>346</v>
      </c>
      <c r="V52" s="119"/>
      <c r="W52" s="119"/>
    </row>
    <row r="53" spans="1:23" s="120" customFormat="1" ht="84" customHeight="1">
      <c r="A53" s="189" t="s">
        <v>67</v>
      </c>
      <c r="B53" s="289">
        <v>44062</v>
      </c>
      <c r="C53" s="290" t="s">
        <v>744</v>
      </c>
      <c r="D53" s="53"/>
      <c r="E53" s="54" t="s">
        <v>183</v>
      </c>
      <c r="F53" s="291" t="s">
        <v>184</v>
      </c>
      <c r="G53" s="55">
        <f t="shared" si="0"/>
        <v>970857.03</v>
      </c>
      <c r="H53" s="292">
        <v>970857.03</v>
      </c>
      <c r="I53" s="55">
        <f>J53</f>
        <v>970857.02999999991</v>
      </c>
      <c r="J53" s="292">
        <f>330497.73+165140.33+224921.01+48294.48+202003.48</f>
        <v>970857.02999999991</v>
      </c>
      <c r="K53" s="55">
        <f t="shared" si="2"/>
        <v>0</v>
      </c>
      <c r="L53" s="56">
        <f t="shared" si="3"/>
        <v>0</v>
      </c>
      <c r="M53" s="293" t="s">
        <v>101</v>
      </c>
      <c r="N53" s="72">
        <f t="shared" si="4"/>
        <v>0.99999999999999989</v>
      </c>
      <c r="O53" s="72">
        <v>1</v>
      </c>
      <c r="P53" s="57" t="s">
        <v>27</v>
      </c>
      <c r="Q53" s="58">
        <v>1</v>
      </c>
      <c r="R53" s="59">
        <v>2000</v>
      </c>
      <c r="S53" s="60" t="s">
        <v>187</v>
      </c>
      <c r="T53" s="60" t="s">
        <v>265</v>
      </c>
      <c r="U53" s="132" t="s">
        <v>266</v>
      </c>
      <c r="V53" s="119"/>
      <c r="W53" s="119"/>
    </row>
    <row r="54" spans="1:23" s="120" customFormat="1" ht="84" customHeight="1">
      <c r="A54" s="189" t="s">
        <v>67</v>
      </c>
      <c r="B54" s="289">
        <v>44062</v>
      </c>
      <c r="C54" s="290" t="s">
        <v>745</v>
      </c>
      <c r="D54" s="53"/>
      <c r="E54" s="54" t="s">
        <v>209</v>
      </c>
      <c r="F54" s="291" t="s">
        <v>210</v>
      </c>
      <c r="G54" s="55">
        <f t="shared" si="0"/>
        <v>1823709.01</v>
      </c>
      <c r="H54" s="292">
        <v>1823709.01</v>
      </c>
      <c r="I54" s="55">
        <f>J54</f>
        <v>1823709.01</v>
      </c>
      <c r="J54" s="292">
        <f>547112.7+776939.45+475602.59+24054.27</f>
        <v>1823709.01</v>
      </c>
      <c r="K54" s="55">
        <f t="shared" si="2"/>
        <v>0</v>
      </c>
      <c r="L54" s="56">
        <f t="shared" si="3"/>
        <v>0</v>
      </c>
      <c r="M54" s="293" t="s">
        <v>101</v>
      </c>
      <c r="N54" s="72">
        <f t="shared" si="4"/>
        <v>1</v>
      </c>
      <c r="O54" s="72">
        <v>1</v>
      </c>
      <c r="P54" s="57" t="s">
        <v>27</v>
      </c>
      <c r="Q54" s="58">
        <v>1</v>
      </c>
      <c r="R54" s="59">
        <v>2000</v>
      </c>
      <c r="S54" s="60" t="s">
        <v>187</v>
      </c>
      <c r="T54" s="60" t="s">
        <v>267</v>
      </c>
      <c r="U54" s="132" t="s">
        <v>400</v>
      </c>
      <c r="V54" s="119"/>
      <c r="W54" s="119"/>
    </row>
    <row r="55" spans="1:23" s="120" customFormat="1" ht="84" customHeight="1">
      <c r="A55" s="189" t="s">
        <v>145</v>
      </c>
      <c r="B55" s="289">
        <v>44062</v>
      </c>
      <c r="C55" s="290" t="s">
        <v>746</v>
      </c>
      <c r="D55" s="53"/>
      <c r="E55" s="54" t="s">
        <v>211</v>
      </c>
      <c r="F55" s="291" t="s">
        <v>347</v>
      </c>
      <c r="G55" s="55">
        <f t="shared" si="0"/>
        <v>548064.88</v>
      </c>
      <c r="H55" s="292">
        <v>548064.88</v>
      </c>
      <c r="I55" s="55">
        <f t="shared" ref="I55:I81" si="5">J55</f>
        <v>548064.88</v>
      </c>
      <c r="J55" s="292">
        <f>164450.99+311468+65292.58+6853.31</f>
        <v>548064.88</v>
      </c>
      <c r="K55" s="55">
        <f t="shared" si="2"/>
        <v>0</v>
      </c>
      <c r="L55" s="56">
        <f t="shared" si="3"/>
        <v>0</v>
      </c>
      <c r="M55" s="293" t="s">
        <v>101</v>
      </c>
      <c r="N55" s="72">
        <f t="shared" si="4"/>
        <v>1</v>
      </c>
      <c r="O55" s="72">
        <v>1</v>
      </c>
      <c r="P55" s="57" t="s">
        <v>27</v>
      </c>
      <c r="Q55" s="58">
        <v>1</v>
      </c>
      <c r="R55" s="59">
        <v>2000</v>
      </c>
      <c r="S55" s="60" t="s">
        <v>187</v>
      </c>
      <c r="T55" s="60" t="s">
        <v>268</v>
      </c>
      <c r="U55" s="132" t="s">
        <v>401</v>
      </c>
      <c r="V55" s="119"/>
      <c r="W55" s="119"/>
    </row>
    <row r="56" spans="1:23" s="120" customFormat="1" ht="84" customHeight="1">
      <c r="A56" s="189" t="s">
        <v>145</v>
      </c>
      <c r="B56" s="289">
        <v>44062</v>
      </c>
      <c r="C56" s="290" t="s">
        <v>747</v>
      </c>
      <c r="D56" s="53"/>
      <c r="E56" s="54" t="s">
        <v>212</v>
      </c>
      <c r="F56" s="291" t="s">
        <v>213</v>
      </c>
      <c r="G56" s="55">
        <f t="shared" si="0"/>
        <v>597221.6</v>
      </c>
      <c r="H56" s="292">
        <v>597221.6</v>
      </c>
      <c r="I56" s="55">
        <f t="shared" si="5"/>
        <v>597221.6</v>
      </c>
      <c r="J56" s="292">
        <f>179166.48+408655.54+9399.58</f>
        <v>597221.6</v>
      </c>
      <c r="K56" s="55">
        <f t="shared" si="2"/>
        <v>0</v>
      </c>
      <c r="L56" s="56">
        <f t="shared" si="3"/>
        <v>0</v>
      </c>
      <c r="M56" s="293" t="s">
        <v>101</v>
      </c>
      <c r="N56" s="72">
        <f t="shared" si="4"/>
        <v>1</v>
      </c>
      <c r="O56" s="72">
        <v>1</v>
      </c>
      <c r="P56" s="57" t="s">
        <v>27</v>
      </c>
      <c r="Q56" s="58">
        <v>1</v>
      </c>
      <c r="R56" s="59">
        <v>2000</v>
      </c>
      <c r="S56" s="60" t="s">
        <v>187</v>
      </c>
      <c r="T56" s="60" t="s">
        <v>269</v>
      </c>
      <c r="U56" s="132" t="s">
        <v>402</v>
      </c>
      <c r="V56" s="119"/>
      <c r="W56" s="119"/>
    </row>
    <row r="57" spans="1:23" s="120" customFormat="1" ht="84" customHeight="1">
      <c r="A57" s="189" t="s">
        <v>145</v>
      </c>
      <c r="B57" s="289">
        <v>43896</v>
      </c>
      <c r="C57" s="290" t="s">
        <v>214</v>
      </c>
      <c r="D57" s="53"/>
      <c r="E57" s="54" t="s">
        <v>215</v>
      </c>
      <c r="F57" s="291" t="s">
        <v>216</v>
      </c>
      <c r="G57" s="55">
        <f t="shared" si="0"/>
        <v>203748.27</v>
      </c>
      <c r="H57" s="292">
        <v>203748.27</v>
      </c>
      <c r="I57" s="55">
        <f t="shared" si="5"/>
        <v>203748.27000000002</v>
      </c>
      <c r="J57" s="292">
        <f>61124.48+138376.67+4247.12</f>
        <v>203748.27000000002</v>
      </c>
      <c r="K57" s="55">
        <f t="shared" si="2"/>
        <v>0</v>
      </c>
      <c r="L57" s="56">
        <f t="shared" si="3"/>
        <v>0</v>
      </c>
      <c r="M57" s="293" t="s">
        <v>101</v>
      </c>
      <c r="N57" s="72">
        <f t="shared" si="4"/>
        <v>1.0000000000000002</v>
      </c>
      <c r="O57" s="72">
        <v>1</v>
      </c>
      <c r="P57" s="57" t="s">
        <v>27</v>
      </c>
      <c r="Q57" s="58">
        <v>1</v>
      </c>
      <c r="R57" s="59">
        <v>500</v>
      </c>
      <c r="S57" s="60" t="s">
        <v>187</v>
      </c>
      <c r="T57" s="60" t="s">
        <v>270</v>
      </c>
      <c r="U57" s="132" t="s">
        <v>389</v>
      </c>
      <c r="V57" s="119"/>
      <c r="W57" s="119"/>
    </row>
    <row r="58" spans="1:23" s="120" customFormat="1" ht="84" customHeight="1">
      <c r="A58" s="189" t="s">
        <v>145</v>
      </c>
      <c r="B58" s="289">
        <v>43896</v>
      </c>
      <c r="C58" s="290" t="s">
        <v>217</v>
      </c>
      <c r="D58" s="53"/>
      <c r="E58" s="54" t="s">
        <v>218</v>
      </c>
      <c r="F58" s="291" t="s">
        <v>219</v>
      </c>
      <c r="G58" s="55">
        <f t="shared" si="0"/>
        <v>338520.83</v>
      </c>
      <c r="H58" s="292">
        <v>338520.83</v>
      </c>
      <c r="I58" s="55">
        <f t="shared" si="5"/>
        <v>338520.83</v>
      </c>
      <c r="J58" s="292">
        <f>240529.01+97991.82</f>
        <v>338520.83</v>
      </c>
      <c r="K58" s="55">
        <f t="shared" si="2"/>
        <v>0</v>
      </c>
      <c r="L58" s="56">
        <f t="shared" si="3"/>
        <v>0</v>
      </c>
      <c r="M58" s="293" t="s">
        <v>101</v>
      </c>
      <c r="N58" s="72">
        <f t="shared" si="4"/>
        <v>1</v>
      </c>
      <c r="O58" s="72">
        <v>1</v>
      </c>
      <c r="P58" s="57" t="s">
        <v>27</v>
      </c>
      <c r="Q58" s="58">
        <v>1</v>
      </c>
      <c r="R58" s="59">
        <v>2000</v>
      </c>
      <c r="S58" s="60" t="s">
        <v>187</v>
      </c>
      <c r="T58" s="60" t="s">
        <v>348</v>
      </c>
      <c r="U58" s="132" t="s">
        <v>403</v>
      </c>
      <c r="V58" s="119"/>
      <c r="W58" s="119"/>
    </row>
    <row r="59" spans="1:23" s="120" customFormat="1" ht="84" customHeight="1">
      <c r="A59" s="189" t="s">
        <v>67</v>
      </c>
      <c r="B59" s="289">
        <v>43880</v>
      </c>
      <c r="C59" s="290" t="s">
        <v>367</v>
      </c>
      <c r="D59" s="53"/>
      <c r="E59" s="54" t="s">
        <v>185</v>
      </c>
      <c r="F59" s="291" t="s">
        <v>186</v>
      </c>
      <c r="G59" s="55">
        <f t="shared" si="0"/>
        <v>9000000</v>
      </c>
      <c r="H59" s="292">
        <v>9000000</v>
      </c>
      <c r="I59" s="55">
        <f t="shared" si="5"/>
        <v>9000000</v>
      </c>
      <c r="J59" s="292">
        <f>2566506.19+1296293.18+1753159.76+992507.66+2391533.21</f>
        <v>9000000</v>
      </c>
      <c r="K59" s="55">
        <f t="shared" si="2"/>
        <v>0</v>
      </c>
      <c r="L59" s="56">
        <f t="shared" si="3"/>
        <v>0</v>
      </c>
      <c r="M59" s="293" t="s">
        <v>101</v>
      </c>
      <c r="N59" s="72">
        <f t="shared" si="4"/>
        <v>1</v>
      </c>
      <c r="O59" s="72">
        <v>1</v>
      </c>
      <c r="P59" s="57" t="s">
        <v>27</v>
      </c>
      <c r="Q59" s="58">
        <v>1</v>
      </c>
      <c r="R59" s="59">
        <v>1100000</v>
      </c>
      <c r="S59" s="60" t="s">
        <v>187</v>
      </c>
      <c r="T59" s="60" t="s">
        <v>271</v>
      </c>
      <c r="U59" s="132" t="s">
        <v>404</v>
      </c>
      <c r="V59" s="119"/>
      <c r="W59" s="119"/>
    </row>
    <row r="60" spans="1:23" s="121" customFormat="1" ht="84" customHeight="1">
      <c r="A60" s="189" t="s">
        <v>67</v>
      </c>
      <c r="B60" s="289">
        <v>44097</v>
      </c>
      <c r="C60" s="290" t="s">
        <v>766</v>
      </c>
      <c r="D60" s="53"/>
      <c r="E60" s="54" t="s">
        <v>220</v>
      </c>
      <c r="F60" s="291" t="s">
        <v>767</v>
      </c>
      <c r="G60" s="55">
        <f t="shared" si="0"/>
        <v>464990.11</v>
      </c>
      <c r="H60" s="292">
        <v>464990.11</v>
      </c>
      <c r="I60" s="55">
        <f t="shared" si="5"/>
        <v>464990.11</v>
      </c>
      <c r="J60" s="292">
        <f>139497.03+291091.33+34401.75</f>
        <v>464990.11</v>
      </c>
      <c r="K60" s="55">
        <f t="shared" si="2"/>
        <v>0</v>
      </c>
      <c r="L60" s="56">
        <f t="shared" si="3"/>
        <v>0</v>
      </c>
      <c r="M60" s="293" t="s">
        <v>101</v>
      </c>
      <c r="N60" s="72">
        <f t="shared" si="4"/>
        <v>1</v>
      </c>
      <c r="O60" s="72">
        <v>1</v>
      </c>
      <c r="P60" s="57" t="s">
        <v>27</v>
      </c>
      <c r="Q60" s="58">
        <v>1</v>
      </c>
      <c r="R60" s="59">
        <v>500</v>
      </c>
      <c r="S60" s="60" t="s">
        <v>187</v>
      </c>
      <c r="T60" s="60" t="s">
        <v>272</v>
      </c>
      <c r="U60" s="132" t="s">
        <v>390</v>
      </c>
      <c r="V60" s="77"/>
      <c r="W60" s="77"/>
    </row>
    <row r="61" spans="1:23" s="121" customFormat="1" ht="84" customHeight="1">
      <c r="A61" s="189" t="s">
        <v>67</v>
      </c>
      <c r="B61" s="289">
        <v>43903</v>
      </c>
      <c r="C61" s="290" t="s">
        <v>221</v>
      </c>
      <c r="D61" s="53"/>
      <c r="E61" s="54" t="s">
        <v>222</v>
      </c>
      <c r="F61" s="291" t="s">
        <v>223</v>
      </c>
      <c r="G61" s="55">
        <f t="shared" si="0"/>
        <v>1002930.88</v>
      </c>
      <c r="H61" s="55">
        <v>1002930.88</v>
      </c>
      <c r="I61" s="55">
        <f t="shared" si="5"/>
        <v>999995.34000000008</v>
      </c>
      <c r="J61" s="292">
        <f>299998.6+523074.68+150239.07+26682.99</f>
        <v>999995.34000000008</v>
      </c>
      <c r="K61" s="55">
        <f t="shared" si="2"/>
        <v>2935.5399999999208</v>
      </c>
      <c r="L61" s="56">
        <f t="shared" si="3"/>
        <v>2935.5399999999208</v>
      </c>
      <c r="M61" s="293" t="s">
        <v>101</v>
      </c>
      <c r="N61" s="72">
        <f t="shared" si="4"/>
        <v>0.99707303857270813</v>
      </c>
      <c r="O61" s="72">
        <v>1</v>
      </c>
      <c r="P61" s="57" t="s">
        <v>141</v>
      </c>
      <c r="Q61" s="58">
        <v>563.70000000000005</v>
      </c>
      <c r="R61" s="59">
        <v>150000</v>
      </c>
      <c r="S61" s="60" t="s">
        <v>187</v>
      </c>
      <c r="T61" s="60" t="s">
        <v>273</v>
      </c>
      <c r="U61" s="132" t="s">
        <v>391</v>
      </c>
      <c r="V61" s="77"/>
      <c r="W61" s="77"/>
    </row>
    <row r="62" spans="1:23" s="121" customFormat="1" ht="84" customHeight="1">
      <c r="A62" s="189" t="s">
        <v>67</v>
      </c>
      <c r="B62" s="289">
        <v>43903</v>
      </c>
      <c r="C62" s="290" t="s">
        <v>224</v>
      </c>
      <c r="D62" s="53"/>
      <c r="E62" s="54" t="s">
        <v>225</v>
      </c>
      <c r="F62" s="291" t="s">
        <v>226</v>
      </c>
      <c r="G62" s="55">
        <f t="shared" si="0"/>
        <v>967725</v>
      </c>
      <c r="H62" s="292">
        <v>967725</v>
      </c>
      <c r="I62" s="55">
        <f t="shared" si="5"/>
        <v>832282.49</v>
      </c>
      <c r="J62" s="292">
        <f>287887.84+183914.87+219246.33+81695.22+59538.23</f>
        <v>832282.49</v>
      </c>
      <c r="K62" s="55">
        <f t="shared" si="2"/>
        <v>135442.51</v>
      </c>
      <c r="L62" s="56">
        <f t="shared" si="3"/>
        <v>135442.51</v>
      </c>
      <c r="M62" s="293" t="s">
        <v>101</v>
      </c>
      <c r="N62" s="72">
        <f t="shared" si="4"/>
        <v>0.86004029037174812</v>
      </c>
      <c r="O62" s="72">
        <v>1</v>
      </c>
      <c r="P62" s="57" t="s">
        <v>141</v>
      </c>
      <c r="Q62" s="58">
        <v>430.25</v>
      </c>
      <c r="R62" s="59">
        <v>150000</v>
      </c>
      <c r="S62" s="60" t="s">
        <v>187</v>
      </c>
      <c r="T62" s="60" t="s">
        <v>274</v>
      </c>
      <c r="U62" s="132" t="s">
        <v>392</v>
      </c>
      <c r="V62" s="77"/>
      <c r="W62" s="77"/>
    </row>
    <row r="63" spans="1:23" s="121" customFormat="1" ht="84" customHeight="1">
      <c r="A63" s="189" t="s">
        <v>67</v>
      </c>
      <c r="B63" s="289">
        <v>44062</v>
      </c>
      <c r="C63" s="290" t="s">
        <v>748</v>
      </c>
      <c r="D63" s="53"/>
      <c r="E63" s="54" t="s">
        <v>227</v>
      </c>
      <c r="F63" s="291" t="s">
        <v>228</v>
      </c>
      <c r="G63" s="55">
        <f t="shared" si="0"/>
        <v>919999.19</v>
      </c>
      <c r="H63" s="292">
        <v>919999.19</v>
      </c>
      <c r="I63" s="55">
        <f t="shared" si="5"/>
        <v>919999.19</v>
      </c>
      <c r="J63" s="292">
        <f>275999.76+619675.99+24323.44</f>
        <v>919999.19</v>
      </c>
      <c r="K63" s="55">
        <f t="shared" si="2"/>
        <v>0</v>
      </c>
      <c r="L63" s="56">
        <f t="shared" si="3"/>
        <v>0</v>
      </c>
      <c r="M63" s="293" t="s">
        <v>101</v>
      </c>
      <c r="N63" s="72">
        <f t="shared" si="4"/>
        <v>1</v>
      </c>
      <c r="O63" s="72">
        <v>1</v>
      </c>
      <c r="P63" s="57" t="s">
        <v>141</v>
      </c>
      <c r="Q63" s="58">
        <v>1597.98</v>
      </c>
      <c r="R63" s="59">
        <v>5000</v>
      </c>
      <c r="S63" s="60" t="s">
        <v>187</v>
      </c>
      <c r="T63" s="60" t="s">
        <v>191</v>
      </c>
      <c r="U63" s="132" t="s">
        <v>405</v>
      </c>
      <c r="V63" s="77"/>
      <c r="W63" s="77"/>
    </row>
    <row r="64" spans="1:23" s="121" customFormat="1" ht="84" customHeight="1">
      <c r="A64" s="189" t="s">
        <v>67</v>
      </c>
      <c r="B64" s="289">
        <v>43921</v>
      </c>
      <c r="C64" s="290" t="s">
        <v>229</v>
      </c>
      <c r="D64" s="53"/>
      <c r="E64" s="54" t="s">
        <v>230</v>
      </c>
      <c r="F64" s="291" t="s">
        <v>231</v>
      </c>
      <c r="G64" s="55">
        <f t="shared" si="0"/>
        <v>2500000</v>
      </c>
      <c r="H64" s="55">
        <v>2500000</v>
      </c>
      <c r="I64" s="55">
        <f t="shared" si="5"/>
        <v>2380576.67</v>
      </c>
      <c r="J64" s="292">
        <f>743490.59+423437.52+1213648.56</f>
        <v>2380576.67</v>
      </c>
      <c r="K64" s="55">
        <f t="shared" si="2"/>
        <v>119423.33000000007</v>
      </c>
      <c r="L64" s="56">
        <f t="shared" si="3"/>
        <v>119423.33000000007</v>
      </c>
      <c r="M64" s="293" t="s">
        <v>101</v>
      </c>
      <c r="N64" s="72">
        <f t="shared" si="4"/>
        <v>0.952230668</v>
      </c>
      <c r="O64" s="72">
        <v>1</v>
      </c>
      <c r="P64" s="57" t="s">
        <v>141</v>
      </c>
      <c r="Q64" s="58">
        <v>507.5</v>
      </c>
      <c r="R64" s="59">
        <v>5000</v>
      </c>
      <c r="S64" s="60" t="s">
        <v>201</v>
      </c>
      <c r="T64" s="60" t="s">
        <v>265</v>
      </c>
      <c r="U64" s="132" t="s">
        <v>379</v>
      </c>
      <c r="V64" s="77"/>
      <c r="W64" s="77"/>
    </row>
    <row r="65" spans="1:23" s="121" customFormat="1" ht="84" customHeight="1">
      <c r="A65" s="189" t="s">
        <v>67</v>
      </c>
      <c r="B65" s="289">
        <v>43921</v>
      </c>
      <c r="C65" s="290" t="s">
        <v>232</v>
      </c>
      <c r="D65" s="53"/>
      <c r="E65" s="54" t="s">
        <v>233</v>
      </c>
      <c r="F65" s="291" t="s">
        <v>234</v>
      </c>
      <c r="G65" s="55">
        <f t="shared" si="0"/>
        <v>1383758.64</v>
      </c>
      <c r="H65" s="292">
        <v>1383758.64</v>
      </c>
      <c r="I65" s="55">
        <f t="shared" si="5"/>
        <v>1161881.1299999999</v>
      </c>
      <c r="J65" s="292">
        <f>397342.24+57877.26+165957.17+421647.09+119057.37</f>
        <v>1161881.1299999999</v>
      </c>
      <c r="K65" s="55">
        <f t="shared" si="2"/>
        <v>221877.51</v>
      </c>
      <c r="L65" s="56">
        <f t="shared" si="3"/>
        <v>221877.51</v>
      </c>
      <c r="M65" s="293" t="s">
        <v>101</v>
      </c>
      <c r="N65" s="72">
        <f t="shared" si="4"/>
        <v>0.83965591716196974</v>
      </c>
      <c r="O65" s="72">
        <v>1</v>
      </c>
      <c r="P65" s="57" t="s">
        <v>141</v>
      </c>
      <c r="Q65" s="58">
        <v>655.82</v>
      </c>
      <c r="R65" s="59">
        <v>5000</v>
      </c>
      <c r="S65" s="60" t="s">
        <v>349</v>
      </c>
      <c r="T65" s="60" t="s">
        <v>350</v>
      </c>
      <c r="U65" s="132" t="s">
        <v>351</v>
      </c>
      <c r="V65" s="77"/>
      <c r="W65" s="77"/>
    </row>
    <row r="66" spans="1:23" s="121" customFormat="1" ht="84" customHeight="1">
      <c r="A66" s="189" t="s">
        <v>67</v>
      </c>
      <c r="B66" s="289">
        <v>43921</v>
      </c>
      <c r="C66" s="290" t="s">
        <v>235</v>
      </c>
      <c r="D66" s="53"/>
      <c r="E66" s="54" t="s">
        <v>236</v>
      </c>
      <c r="F66" s="291" t="s">
        <v>352</v>
      </c>
      <c r="G66" s="55">
        <f t="shared" si="0"/>
        <v>1895324.73</v>
      </c>
      <c r="H66" s="292">
        <v>1895324.73</v>
      </c>
      <c r="I66" s="55">
        <f t="shared" si="5"/>
        <v>1774308.06</v>
      </c>
      <c r="J66" s="292">
        <f>538951.35+753735.41+481621.3</f>
        <v>1774308.06</v>
      </c>
      <c r="K66" s="55">
        <f t="shared" si="2"/>
        <v>121016.66999999993</v>
      </c>
      <c r="L66" s="56">
        <f t="shared" si="3"/>
        <v>121016.66999999993</v>
      </c>
      <c r="M66" s="293" t="s">
        <v>101</v>
      </c>
      <c r="N66" s="72">
        <f t="shared" si="4"/>
        <v>0.93614990186932245</v>
      </c>
      <c r="O66" s="72">
        <v>1</v>
      </c>
      <c r="P66" s="57" t="s">
        <v>141</v>
      </c>
      <c r="Q66" s="58">
        <v>687.67</v>
      </c>
      <c r="R66" s="59">
        <v>5000</v>
      </c>
      <c r="S66" s="60" t="s">
        <v>349</v>
      </c>
      <c r="T66" s="60" t="s">
        <v>274</v>
      </c>
      <c r="U66" s="132" t="s">
        <v>353</v>
      </c>
      <c r="V66" s="77"/>
      <c r="W66" s="77"/>
    </row>
    <row r="67" spans="1:23" s="121" customFormat="1" ht="84" customHeight="1">
      <c r="A67" s="189" t="s">
        <v>67</v>
      </c>
      <c r="B67" s="289">
        <v>43921</v>
      </c>
      <c r="C67" s="290" t="s">
        <v>749</v>
      </c>
      <c r="D67" s="53"/>
      <c r="E67" s="54" t="s">
        <v>237</v>
      </c>
      <c r="F67" s="291" t="s">
        <v>238</v>
      </c>
      <c r="G67" s="55">
        <f t="shared" si="0"/>
        <v>1000000</v>
      </c>
      <c r="H67" s="292">
        <v>1000000</v>
      </c>
      <c r="I67" s="55">
        <f t="shared" si="5"/>
        <v>299994.77</v>
      </c>
      <c r="J67" s="292">
        <f>299994.77</f>
        <v>299994.77</v>
      </c>
      <c r="K67" s="55">
        <f t="shared" si="2"/>
        <v>700005.23</v>
      </c>
      <c r="L67" s="56">
        <f t="shared" si="3"/>
        <v>700005.23</v>
      </c>
      <c r="M67" s="293" t="s">
        <v>101</v>
      </c>
      <c r="N67" s="72">
        <f t="shared" si="4"/>
        <v>0.29999477000000002</v>
      </c>
      <c r="O67" s="72">
        <v>0.3</v>
      </c>
      <c r="P67" s="57" t="s">
        <v>27</v>
      </c>
      <c r="Q67" s="58">
        <v>1</v>
      </c>
      <c r="R67" s="59">
        <v>1500</v>
      </c>
      <c r="S67" s="60" t="s">
        <v>187</v>
      </c>
      <c r="T67" s="60" t="s">
        <v>261</v>
      </c>
      <c r="U67" s="132" t="s">
        <v>381</v>
      </c>
      <c r="V67" s="77"/>
      <c r="W67" s="77"/>
    </row>
    <row r="68" spans="1:23" s="121" customFormat="1" ht="84" customHeight="1">
      <c r="A68" s="189" t="s">
        <v>67</v>
      </c>
      <c r="B68" s="289">
        <v>43921</v>
      </c>
      <c r="C68" s="290" t="s">
        <v>239</v>
      </c>
      <c r="D68" s="53"/>
      <c r="E68" s="54" t="s">
        <v>240</v>
      </c>
      <c r="F68" s="291" t="s">
        <v>241</v>
      </c>
      <c r="G68" s="55">
        <f t="shared" si="0"/>
        <v>996683.29</v>
      </c>
      <c r="H68" s="292">
        <v>996683.29</v>
      </c>
      <c r="I68" s="55">
        <f t="shared" si="5"/>
        <v>996683.29</v>
      </c>
      <c r="J68" s="292">
        <f>299004.99+284233.08+393083.95+20361.27</f>
        <v>996683.29</v>
      </c>
      <c r="K68" s="55">
        <f t="shared" si="2"/>
        <v>0</v>
      </c>
      <c r="L68" s="56">
        <f t="shared" si="3"/>
        <v>0</v>
      </c>
      <c r="M68" s="293" t="s">
        <v>101</v>
      </c>
      <c r="N68" s="72">
        <f t="shared" si="4"/>
        <v>1</v>
      </c>
      <c r="O68" s="72">
        <v>1</v>
      </c>
      <c r="P68" s="57" t="s">
        <v>141</v>
      </c>
      <c r="Q68" s="58">
        <v>970</v>
      </c>
      <c r="R68" s="59">
        <v>5000</v>
      </c>
      <c r="S68" s="60" t="s">
        <v>187</v>
      </c>
      <c r="T68" s="60" t="s">
        <v>338</v>
      </c>
      <c r="U68" s="132" t="s">
        <v>393</v>
      </c>
      <c r="V68" s="77"/>
      <c r="W68" s="77"/>
    </row>
    <row r="69" spans="1:23" s="121" customFormat="1" ht="84" customHeight="1">
      <c r="A69" s="189" t="s">
        <v>67</v>
      </c>
      <c r="B69" s="289">
        <v>43921</v>
      </c>
      <c r="C69" s="290" t="s">
        <v>242</v>
      </c>
      <c r="D69" s="53"/>
      <c r="E69" s="54" t="s">
        <v>243</v>
      </c>
      <c r="F69" s="291" t="s">
        <v>244</v>
      </c>
      <c r="G69" s="55">
        <f t="shared" si="0"/>
        <v>987339.94</v>
      </c>
      <c r="H69" s="292">
        <v>987339.94</v>
      </c>
      <c r="I69" s="55">
        <f t="shared" si="5"/>
        <v>987339.94000000006</v>
      </c>
      <c r="J69" s="292">
        <f>296201.97+102191.19+568049.41+20897.37</f>
        <v>987339.94000000006</v>
      </c>
      <c r="K69" s="55">
        <f t="shared" si="2"/>
        <v>0</v>
      </c>
      <c r="L69" s="56">
        <f t="shared" si="3"/>
        <v>0</v>
      </c>
      <c r="M69" s="293" t="s">
        <v>101</v>
      </c>
      <c r="N69" s="72">
        <f t="shared" si="4"/>
        <v>1.0000000000000002</v>
      </c>
      <c r="O69" s="72">
        <v>1</v>
      </c>
      <c r="P69" s="57" t="s">
        <v>141</v>
      </c>
      <c r="Q69" s="58">
        <v>930.32</v>
      </c>
      <c r="R69" s="59">
        <v>5000</v>
      </c>
      <c r="S69" s="60" t="s">
        <v>187</v>
      </c>
      <c r="T69" s="60" t="s">
        <v>354</v>
      </c>
      <c r="U69" s="132" t="s">
        <v>394</v>
      </c>
      <c r="V69" s="77"/>
      <c r="W69" s="77"/>
    </row>
    <row r="70" spans="1:23" s="51" customFormat="1" ht="99.75">
      <c r="A70" s="189" t="s">
        <v>67</v>
      </c>
      <c r="B70" s="289">
        <v>43928</v>
      </c>
      <c r="C70" s="290" t="s">
        <v>275</v>
      </c>
      <c r="D70" s="53"/>
      <c r="E70" s="54" t="s">
        <v>276</v>
      </c>
      <c r="F70" s="291" t="s">
        <v>277</v>
      </c>
      <c r="G70" s="55">
        <f t="shared" si="0"/>
        <v>2482557.69</v>
      </c>
      <c r="H70" s="55">
        <v>2482557.69</v>
      </c>
      <c r="I70" s="55">
        <f t="shared" si="5"/>
        <v>1730645.53</v>
      </c>
      <c r="J70" s="292">
        <f>731930.41+998715.12</f>
        <v>1730645.53</v>
      </c>
      <c r="K70" s="55">
        <f t="shared" si="2"/>
        <v>751912.15999999992</v>
      </c>
      <c r="L70" s="56">
        <f t="shared" si="3"/>
        <v>751912.15999999992</v>
      </c>
      <c r="M70" s="293" t="s">
        <v>101</v>
      </c>
      <c r="N70" s="72">
        <f t="shared" si="4"/>
        <v>0.69712197906667783</v>
      </c>
      <c r="O70" s="72">
        <v>1</v>
      </c>
      <c r="P70" s="57" t="s">
        <v>141</v>
      </c>
      <c r="Q70" s="58">
        <v>3331.47</v>
      </c>
      <c r="R70" s="59">
        <v>5000</v>
      </c>
      <c r="S70" s="60" t="s">
        <v>187</v>
      </c>
      <c r="T70" s="60" t="s">
        <v>362</v>
      </c>
      <c r="U70" s="132" t="s">
        <v>406</v>
      </c>
      <c r="V70" s="77"/>
    </row>
    <row r="71" spans="1:23" s="51" customFormat="1" ht="114">
      <c r="A71" s="189" t="s">
        <v>67</v>
      </c>
      <c r="B71" s="289">
        <v>43928</v>
      </c>
      <c r="C71" s="290" t="s">
        <v>278</v>
      </c>
      <c r="D71" s="53"/>
      <c r="E71" s="54" t="s">
        <v>279</v>
      </c>
      <c r="F71" s="291" t="s">
        <v>280</v>
      </c>
      <c r="G71" s="55">
        <f t="shared" si="0"/>
        <v>326916.03999999998</v>
      </c>
      <c r="H71" s="55">
        <v>326916.03999999998</v>
      </c>
      <c r="I71" s="55">
        <f t="shared" si="5"/>
        <v>326916.03999999998</v>
      </c>
      <c r="J71" s="292">
        <f>94496.36+210675.7+21743.98</f>
        <v>326916.03999999998</v>
      </c>
      <c r="K71" s="55">
        <f t="shared" si="2"/>
        <v>0</v>
      </c>
      <c r="L71" s="56">
        <f t="shared" si="3"/>
        <v>0</v>
      </c>
      <c r="M71" s="293" t="s">
        <v>101</v>
      </c>
      <c r="N71" s="72">
        <f t="shared" si="4"/>
        <v>1</v>
      </c>
      <c r="O71" s="72">
        <v>1</v>
      </c>
      <c r="P71" s="57" t="s">
        <v>27</v>
      </c>
      <c r="Q71" s="58">
        <v>1</v>
      </c>
      <c r="R71" s="59">
        <v>2500</v>
      </c>
      <c r="S71" s="60" t="s">
        <v>187</v>
      </c>
      <c r="T71" s="60" t="s">
        <v>255</v>
      </c>
      <c r="U71" s="132" t="s">
        <v>407</v>
      </c>
      <c r="V71" s="77"/>
    </row>
    <row r="72" spans="1:23" ht="83.25" customHeight="1">
      <c r="A72" s="189" t="s">
        <v>67</v>
      </c>
      <c r="B72" s="289">
        <v>43928</v>
      </c>
      <c r="C72" s="290" t="s">
        <v>281</v>
      </c>
      <c r="D72" s="53"/>
      <c r="E72" s="54" t="s">
        <v>282</v>
      </c>
      <c r="F72" s="291" t="s">
        <v>355</v>
      </c>
      <c r="G72" s="55">
        <f t="shared" si="0"/>
        <v>2437407.36</v>
      </c>
      <c r="H72" s="55">
        <v>2437407.36</v>
      </c>
      <c r="I72" s="55">
        <f t="shared" si="5"/>
        <v>1619013.15</v>
      </c>
      <c r="J72" s="292">
        <f>720436.82+841521.83+57054.5</f>
        <v>1619013.15</v>
      </c>
      <c r="K72" s="55">
        <f t="shared" si="2"/>
        <v>818394.21</v>
      </c>
      <c r="L72" s="56">
        <f t="shared" si="3"/>
        <v>818394.21</v>
      </c>
      <c r="M72" s="293" t="s">
        <v>101</v>
      </c>
      <c r="N72" s="72">
        <f t="shared" si="4"/>
        <v>0.66423576812371654</v>
      </c>
      <c r="O72" s="72">
        <v>1</v>
      </c>
      <c r="P72" s="57" t="s">
        <v>141</v>
      </c>
      <c r="Q72" s="58">
        <v>3423.83</v>
      </c>
      <c r="R72" s="59">
        <v>5000</v>
      </c>
      <c r="S72" s="60" t="s">
        <v>187</v>
      </c>
      <c r="T72" s="60" t="s">
        <v>207</v>
      </c>
      <c r="U72" s="132" t="s">
        <v>408</v>
      </c>
      <c r="V72" s="77"/>
    </row>
    <row r="73" spans="1:23" ht="90.75" customHeight="1">
      <c r="A73" s="189" t="s">
        <v>67</v>
      </c>
      <c r="B73" s="289">
        <v>44077</v>
      </c>
      <c r="C73" s="290" t="s">
        <v>768</v>
      </c>
      <c r="D73" s="53"/>
      <c r="E73" s="54" t="s">
        <v>283</v>
      </c>
      <c r="F73" s="291" t="s">
        <v>284</v>
      </c>
      <c r="G73" s="55">
        <f t="shared" si="0"/>
        <v>180823.27</v>
      </c>
      <c r="H73" s="55">
        <v>180823.27</v>
      </c>
      <c r="I73" s="55">
        <f t="shared" si="5"/>
        <v>180823.27000000002</v>
      </c>
      <c r="J73" s="292">
        <f>54246.98+105027.63+21548.66</f>
        <v>180823.27000000002</v>
      </c>
      <c r="K73" s="55">
        <f t="shared" si="2"/>
        <v>0</v>
      </c>
      <c r="L73" s="56">
        <f t="shared" si="3"/>
        <v>0</v>
      </c>
      <c r="M73" s="293" t="s">
        <v>101</v>
      </c>
      <c r="N73" s="72">
        <f t="shared" si="4"/>
        <v>1.0000000000000002</v>
      </c>
      <c r="O73" s="72">
        <v>1</v>
      </c>
      <c r="P73" s="57" t="s">
        <v>27</v>
      </c>
      <c r="Q73" s="58">
        <v>1</v>
      </c>
      <c r="R73" s="59">
        <v>481</v>
      </c>
      <c r="S73" s="60" t="s">
        <v>187</v>
      </c>
      <c r="T73" s="60" t="s">
        <v>199</v>
      </c>
      <c r="U73" s="132" t="s">
        <v>395</v>
      </c>
      <c r="V73" s="77"/>
    </row>
    <row r="74" spans="1:23" ht="90.75" customHeight="1">
      <c r="A74" s="189" t="s">
        <v>67</v>
      </c>
      <c r="B74" s="289">
        <v>44062</v>
      </c>
      <c r="C74" s="290" t="s">
        <v>750</v>
      </c>
      <c r="D74" s="53"/>
      <c r="E74" s="54" t="s">
        <v>285</v>
      </c>
      <c r="F74" s="291" t="s">
        <v>286</v>
      </c>
      <c r="G74" s="55">
        <f t="shared" si="0"/>
        <v>4320886.5999999996</v>
      </c>
      <c r="H74" s="55">
        <v>4320886.5999999996</v>
      </c>
      <c r="I74" s="55">
        <f t="shared" si="5"/>
        <v>4320886.5999999996</v>
      </c>
      <c r="J74" s="292">
        <f>1695145.73+2579820.11+45920.76</f>
        <v>4320886.5999999996</v>
      </c>
      <c r="K74" s="55">
        <f t="shared" si="2"/>
        <v>0</v>
      </c>
      <c r="L74" s="56">
        <f t="shared" si="3"/>
        <v>0</v>
      </c>
      <c r="M74" s="293" t="s">
        <v>101</v>
      </c>
      <c r="N74" s="72">
        <f t="shared" si="4"/>
        <v>1</v>
      </c>
      <c r="O74" s="72">
        <v>1</v>
      </c>
      <c r="P74" s="57" t="s">
        <v>141</v>
      </c>
      <c r="Q74" s="58">
        <v>8090.19</v>
      </c>
      <c r="R74" s="59">
        <v>10000</v>
      </c>
      <c r="S74" s="60" t="s">
        <v>187</v>
      </c>
      <c r="T74" s="60" t="s">
        <v>191</v>
      </c>
      <c r="U74" s="132" t="s">
        <v>409</v>
      </c>
      <c r="V74" s="77"/>
    </row>
    <row r="75" spans="1:23" ht="88.5" customHeight="1">
      <c r="A75" s="189" t="s">
        <v>67</v>
      </c>
      <c r="B75" s="289">
        <v>43951</v>
      </c>
      <c r="C75" s="290" t="s">
        <v>414</v>
      </c>
      <c r="D75" s="53"/>
      <c r="E75" s="54" t="s">
        <v>287</v>
      </c>
      <c r="F75" s="291" t="s">
        <v>288</v>
      </c>
      <c r="G75" s="55">
        <f t="shared" ref="G75:G81" si="6">H75</f>
        <v>229900.46</v>
      </c>
      <c r="H75" s="55">
        <v>229900.46</v>
      </c>
      <c r="I75" s="55">
        <f t="shared" si="5"/>
        <v>225185.68000000002</v>
      </c>
      <c r="J75" s="292">
        <f>201272.2+23913.48</f>
        <v>225185.68000000002</v>
      </c>
      <c r="K75" s="55">
        <f t="shared" si="2"/>
        <v>4714.7799999999697</v>
      </c>
      <c r="L75" s="56">
        <f t="shared" si="3"/>
        <v>4714.7799999999697</v>
      </c>
      <c r="M75" s="293" t="s">
        <v>101</v>
      </c>
      <c r="N75" s="72">
        <f t="shared" si="4"/>
        <v>0.97949208105107766</v>
      </c>
      <c r="O75" s="72">
        <v>1</v>
      </c>
      <c r="P75" s="57" t="s">
        <v>27</v>
      </c>
      <c r="Q75" s="58">
        <v>1</v>
      </c>
      <c r="R75" s="59">
        <v>2500</v>
      </c>
      <c r="S75" s="60" t="s">
        <v>187</v>
      </c>
      <c r="T75" s="60" t="s">
        <v>344</v>
      </c>
      <c r="U75" s="132" t="s">
        <v>751</v>
      </c>
      <c r="V75" s="77"/>
    </row>
    <row r="76" spans="1:23" ht="76.5" customHeight="1">
      <c r="A76" s="189" t="s">
        <v>67</v>
      </c>
      <c r="B76" s="289">
        <v>44104</v>
      </c>
      <c r="C76" s="290" t="s">
        <v>769</v>
      </c>
      <c r="D76" s="53"/>
      <c r="E76" s="54" t="s">
        <v>289</v>
      </c>
      <c r="F76" s="291" t="s">
        <v>288</v>
      </c>
      <c r="G76" s="55">
        <f t="shared" si="6"/>
        <v>847425.98</v>
      </c>
      <c r="H76" s="55">
        <v>847425.98</v>
      </c>
      <c r="I76" s="55">
        <f t="shared" si="5"/>
        <v>847425.9800000001</v>
      </c>
      <c r="J76" s="292">
        <f>286846.81+559938.5+640.67</f>
        <v>847425.9800000001</v>
      </c>
      <c r="K76" s="55">
        <f t="shared" ref="K76:K81" si="7">L76</f>
        <v>0</v>
      </c>
      <c r="L76" s="56">
        <f t="shared" ref="L76:L81" si="8">H76-J76</f>
        <v>0</v>
      </c>
      <c r="M76" s="293" t="s">
        <v>101</v>
      </c>
      <c r="N76" s="72">
        <f t="shared" si="4"/>
        <v>1.0000000000000002</v>
      </c>
      <c r="O76" s="72">
        <v>1</v>
      </c>
      <c r="P76" s="57" t="s">
        <v>141</v>
      </c>
      <c r="Q76" s="58">
        <v>982.09</v>
      </c>
      <c r="R76" s="59">
        <v>5000</v>
      </c>
      <c r="S76" s="60" t="s">
        <v>187</v>
      </c>
      <c r="T76" s="60" t="s">
        <v>264</v>
      </c>
      <c r="U76" s="132" t="s">
        <v>397</v>
      </c>
      <c r="V76" s="77"/>
    </row>
    <row r="77" spans="1:23" ht="92.25" customHeight="1">
      <c r="A77" s="189" t="s">
        <v>67</v>
      </c>
      <c r="B77" s="289">
        <v>43970</v>
      </c>
      <c r="C77" s="290" t="s">
        <v>356</v>
      </c>
      <c r="D77" s="53"/>
      <c r="E77" s="54" t="s">
        <v>357</v>
      </c>
      <c r="F77" s="291" t="s">
        <v>358</v>
      </c>
      <c r="G77" s="55">
        <f t="shared" si="6"/>
        <v>835939.23</v>
      </c>
      <c r="H77" s="55">
        <v>835939.23</v>
      </c>
      <c r="I77" s="55">
        <f t="shared" si="5"/>
        <v>759614.11</v>
      </c>
      <c r="J77" s="292">
        <f>239856.75+368808.35+150949.01</f>
        <v>759614.11</v>
      </c>
      <c r="K77" s="55">
        <f t="shared" si="7"/>
        <v>76325.119999999995</v>
      </c>
      <c r="L77" s="56">
        <f t="shared" si="8"/>
        <v>76325.119999999995</v>
      </c>
      <c r="M77" s="293" t="s">
        <v>101</v>
      </c>
      <c r="N77" s="72">
        <f t="shared" si="4"/>
        <v>0.90869537250931509</v>
      </c>
      <c r="O77" s="72">
        <v>1</v>
      </c>
      <c r="P77" s="57" t="s">
        <v>27</v>
      </c>
      <c r="Q77" s="58">
        <v>1</v>
      </c>
      <c r="R77" s="59">
        <v>3500</v>
      </c>
      <c r="S77" s="60" t="s">
        <v>187</v>
      </c>
      <c r="T77" s="60" t="s">
        <v>363</v>
      </c>
      <c r="U77" s="132" t="s">
        <v>396</v>
      </c>
      <c r="V77" s="77"/>
    </row>
    <row r="78" spans="1:23" ht="92.25" customHeight="1">
      <c r="A78" s="189" t="s">
        <v>67</v>
      </c>
      <c r="B78" s="289">
        <v>43979</v>
      </c>
      <c r="C78" s="290" t="s">
        <v>359</v>
      </c>
      <c r="D78" s="53"/>
      <c r="E78" s="54" t="s">
        <v>360</v>
      </c>
      <c r="F78" s="291" t="s">
        <v>361</v>
      </c>
      <c r="G78" s="55">
        <f t="shared" si="6"/>
        <v>789101.6</v>
      </c>
      <c r="H78" s="55">
        <v>789101.6</v>
      </c>
      <c r="I78" s="55">
        <f t="shared" si="5"/>
        <v>777834.08</v>
      </c>
      <c r="J78" s="292">
        <f>235310.09+446497.72+96026.27</f>
        <v>777834.08</v>
      </c>
      <c r="K78" s="55">
        <f t="shared" si="7"/>
        <v>11267.520000000019</v>
      </c>
      <c r="L78" s="56">
        <f t="shared" si="8"/>
        <v>11267.520000000019</v>
      </c>
      <c r="M78" s="293" t="s">
        <v>101</v>
      </c>
      <c r="N78" s="72">
        <f t="shared" si="4"/>
        <v>0.98572107824898592</v>
      </c>
      <c r="O78" s="72">
        <v>1</v>
      </c>
      <c r="P78" s="57" t="s">
        <v>141</v>
      </c>
      <c r="Q78" s="58">
        <v>9718</v>
      </c>
      <c r="R78" s="59">
        <v>2000</v>
      </c>
      <c r="S78" s="60" t="s">
        <v>187</v>
      </c>
      <c r="T78" s="60" t="s">
        <v>344</v>
      </c>
      <c r="U78" s="132" t="s">
        <v>482</v>
      </c>
      <c r="V78" s="77"/>
    </row>
    <row r="79" spans="1:23" ht="80.25" customHeight="1">
      <c r="A79" s="189" t="s">
        <v>67</v>
      </c>
      <c r="B79" s="289">
        <v>44033</v>
      </c>
      <c r="C79" s="290" t="s">
        <v>483</v>
      </c>
      <c r="D79" s="53"/>
      <c r="E79" s="54" t="s">
        <v>484</v>
      </c>
      <c r="F79" s="291" t="s">
        <v>485</v>
      </c>
      <c r="G79" s="55">
        <f t="shared" si="6"/>
        <v>560000</v>
      </c>
      <c r="H79" s="55">
        <v>560000</v>
      </c>
      <c r="I79" s="55">
        <f t="shared" si="5"/>
        <v>0</v>
      </c>
      <c r="J79" s="292">
        <v>0</v>
      </c>
      <c r="K79" s="55">
        <f t="shared" si="7"/>
        <v>560000</v>
      </c>
      <c r="L79" s="56">
        <f t="shared" si="8"/>
        <v>560000</v>
      </c>
      <c r="M79" s="293" t="s">
        <v>101</v>
      </c>
      <c r="N79" s="72">
        <f t="shared" si="4"/>
        <v>0</v>
      </c>
      <c r="O79" s="72">
        <v>0</v>
      </c>
      <c r="P79" s="57" t="s">
        <v>27</v>
      </c>
      <c r="Q79" s="58">
        <v>1</v>
      </c>
      <c r="R79" s="59">
        <v>100000</v>
      </c>
      <c r="S79" s="60" t="s">
        <v>187</v>
      </c>
      <c r="T79" s="60" t="s">
        <v>28</v>
      </c>
      <c r="U79" s="132" t="s">
        <v>29</v>
      </c>
      <c r="V79" s="77"/>
    </row>
    <row r="80" spans="1:23" ht="71.25">
      <c r="A80" s="189" t="s">
        <v>67</v>
      </c>
      <c r="B80" s="289">
        <v>44054</v>
      </c>
      <c r="C80" s="290" t="s">
        <v>752</v>
      </c>
      <c r="D80" s="53"/>
      <c r="E80" s="54" t="s">
        <v>753</v>
      </c>
      <c r="F80" s="291" t="s">
        <v>754</v>
      </c>
      <c r="G80" s="55">
        <f t="shared" si="6"/>
        <v>1500000</v>
      </c>
      <c r="H80" s="55">
        <v>1500000</v>
      </c>
      <c r="I80" s="55">
        <f t="shared" si="5"/>
        <v>449146.85</v>
      </c>
      <c r="J80" s="292">
        <f>449146.85</f>
        <v>449146.85</v>
      </c>
      <c r="K80" s="55">
        <f t="shared" si="7"/>
        <v>1050853.1499999999</v>
      </c>
      <c r="L80" s="56">
        <f t="shared" si="8"/>
        <v>1050853.1499999999</v>
      </c>
      <c r="M80" s="293" t="s">
        <v>101</v>
      </c>
      <c r="N80" s="72">
        <f t="shared" si="4"/>
        <v>0.29943123333333332</v>
      </c>
      <c r="O80" s="72">
        <v>0.12</v>
      </c>
      <c r="P80" s="57" t="s">
        <v>27</v>
      </c>
      <c r="Q80" s="58">
        <v>1</v>
      </c>
      <c r="R80" s="59">
        <v>100000</v>
      </c>
      <c r="S80" s="60" t="s">
        <v>187</v>
      </c>
      <c r="T80" s="60" t="s">
        <v>28</v>
      </c>
      <c r="U80" s="132" t="s">
        <v>29</v>
      </c>
      <c r="V80" s="77"/>
    </row>
    <row r="81" spans="1:22" ht="100.5" thickBot="1">
      <c r="A81" s="133" t="s">
        <v>67</v>
      </c>
      <c r="B81" s="134">
        <v>44085</v>
      </c>
      <c r="C81" s="135" t="s">
        <v>770</v>
      </c>
      <c r="D81" s="136"/>
      <c r="E81" s="137" t="s">
        <v>771</v>
      </c>
      <c r="F81" s="138" t="s">
        <v>772</v>
      </c>
      <c r="G81" s="139">
        <f t="shared" si="6"/>
        <v>1709209.46</v>
      </c>
      <c r="H81" s="139">
        <v>1709209.46</v>
      </c>
      <c r="I81" s="139">
        <f t="shared" si="5"/>
        <v>0</v>
      </c>
      <c r="J81" s="140">
        <v>0</v>
      </c>
      <c r="K81" s="139">
        <f t="shared" si="7"/>
        <v>1709209.46</v>
      </c>
      <c r="L81" s="141">
        <f t="shared" si="8"/>
        <v>1709209.46</v>
      </c>
      <c r="M81" s="142" t="s">
        <v>101</v>
      </c>
      <c r="N81" s="143">
        <f t="shared" si="4"/>
        <v>0</v>
      </c>
      <c r="O81" s="143">
        <v>0</v>
      </c>
      <c r="P81" s="144" t="s">
        <v>27</v>
      </c>
      <c r="Q81" s="145">
        <v>1</v>
      </c>
      <c r="R81" s="146">
        <v>1100000</v>
      </c>
      <c r="S81" s="148" t="s">
        <v>28</v>
      </c>
      <c r="T81" s="148" t="s">
        <v>28</v>
      </c>
      <c r="U81" s="147" t="s">
        <v>29</v>
      </c>
      <c r="V81" s="77"/>
    </row>
    <row r="82" spans="1:22" ht="15.75" thickBot="1">
      <c r="A82" s="158"/>
      <c r="B82" s="157"/>
      <c r="C82" s="158"/>
      <c r="D82" s="159"/>
      <c r="E82" s="160"/>
      <c r="F82" s="161"/>
      <c r="G82" s="162"/>
      <c r="H82" s="165"/>
      <c r="I82" s="162"/>
      <c r="J82" s="165"/>
      <c r="K82" s="162"/>
      <c r="L82" s="166"/>
      <c r="M82" s="167"/>
      <c r="N82" s="168"/>
      <c r="O82" s="52"/>
      <c r="P82" s="163"/>
      <c r="Q82" s="164"/>
      <c r="R82" s="169"/>
      <c r="S82" s="170"/>
      <c r="T82" s="170"/>
      <c r="U82" s="170"/>
      <c r="V82" s="77"/>
    </row>
    <row r="83" spans="1:22" ht="16.5" thickTop="1" thickBot="1">
      <c r="A83" s="61"/>
      <c r="B83" s="61"/>
      <c r="C83" s="61"/>
      <c r="D83" s="61"/>
      <c r="E83" s="62"/>
      <c r="F83" s="171" t="s">
        <v>31</v>
      </c>
      <c r="G83" s="172">
        <f>SUBTOTAL(9,G11:G82)</f>
        <v>137397642.72999999</v>
      </c>
      <c r="H83" s="172">
        <f t="shared" ref="H83:L83" si="9">SUBTOTAL(9,H11:H82)</f>
        <v>137397642.72999999</v>
      </c>
      <c r="I83" s="172">
        <f>SUBTOTAL(9,I11:I82)</f>
        <v>108017266.71999998</v>
      </c>
      <c r="J83" s="172">
        <f t="shared" si="9"/>
        <v>108017266.71999998</v>
      </c>
      <c r="K83" s="172">
        <f t="shared" si="9"/>
        <v>29380376.010000005</v>
      </c>
      <c r="L83" s="172">
        <f t="shared" si="9"/>
        <v>29380376.010000005</v>
      </c>
      <c r="M83" s="64"/>
      <c r="N83" s="52"/>
      <c r="O83" s="52"/>
      <c r="P83" s="123"/>
      <c r="Q83" s="66"/>
      <c r="R83" s="66"/>
      <c r="S83" s="63"/>
      <c r="T83" s="52"/>
      <c r="U83" s="52"/>
      <c r="V83" s="52"/>
    </row>
    <row r="84" spans="1:22" ht="15.75" thickTop="1">
      <c r="A84" s="52"/>
      <c r="B84" s="52"/>
      <c r="C84" s="106"/>
      <c r="D84" s="52"/>
      <c r="E84" s="67"/>
      <c r="F84" s="107"/>
      <c r="G84" s="114"/>
      <c r="H84" s="114"/>
      <c r="I84" s="68"/>
      <c r="J84" s="114"/>
      <c r="K84" s="68"/>
      <c r="L84" s="69"/>
      <c r="M84" s="63"/>
      <c r="N84" s="52"/>
      <c r="O84" s="51"/>
      <c r="P84" s="65"/>
      <c r="Q84" s="66"/>
      <c r="R84" s="66"/>
      <c r="S84" s="63"/>
      <c r="T84" s="52"/>
      <c r="U84" s="52"/>
      <c r="V84" s="51"/>
    </row>
    <row r="85" spans="1:22">
      <c r="A85" s="70" t="s">
        <v>32</v>
      </c>
      <c r="B85" s="51"/>
      <c r="C85" s="51"/>
      <c r="D85" s="51"/>
      <c r="E85" s="51"/>
      <c r="F85" s="71"/>
      <c r="G85" s="115"/>
      <c r="H85" s="115"/>
      <c r="I85" s="51"/>
      <c r="J85" s="115"/>
      <c r="K85" s="224"/>
      <c r="L85" s="51"/>
      <c r="M85" s="51"/>
      <c r="N85" s="51"/>
      <c r="O85"/>
      <c r="P85" s="51"/>
      <c r="Q85" s="51"/>
      <c r="R85" s="51"/>
      <c r="S85" s="51"/>
      <c r="T85" s="51"/>
      <c r="U85" s="51"/>
    </row>
    <row r="86" spans="1:22">
      <c r="G86" s="7"/>
      <c r="H86" s="7"/>
      <c r="J86" s="7"/>
      <c r="N86"/>
      <c r="T86"/>
    </row>
    <row r="87" spans="1:22">
      <c r="G87" s="173"/>
      <c r="H87" s="7"/>
      <c r="I87" s="2"/>
      <c r="N87"/>
    </row>
    <row r="88" spans="1:22">
      <c r="G88" s="173"/>
      <c r="H88" s="7"/>
      <c r="I88" s="2"/>
      <c r="N88"/>
    </row>
    <row r="89" spans="1:22">
      <c r="G89" s="173"/>
      <c r="H89" s="7"/>
      <c r="I89" s="2"/>
      <c r="N89"/>
    </row>
  </sheetData>
  <mergeCells count="16">
    <mergeCell ref="S9:U9"/>
    <mergeCell ref="K9:L9"/>
    <mergeCell ref="P10:Q10"/>
    <mergeCell ref="A7:B7"/>
    <mergeCell ref="C7:E7"/>
    <mergeCell ref="A8:B8"/>
    <mergeCell ref="C8:E8"/>
    <mergeCell ref="G9:H9"/>
    <mergeCell ref="I9:J9"/>
    <mergeCell ref="A6:B6"/>
    <mergeCell ref="C6:E6"/>
    <mergeCell ref="A2:B3"/>
    <mergeCell ref="C2:U2"/>
    <mergeCell ref="C3:U3"/>
    <mergeCell ref="A5:B5"/>
    <mergeCell ref="C5:E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M1" workbookViewId="0">
      <selection activeCell="U20" sqref="A1:U20"/>
    </sheetView>
  </sheetViews>
  <sheetFormatPr baseColWidth="10" defaultRowHeight="15"/>
  <cols>
    <col min="1" max="1" width="8.85546875" customWidth="1"/>
    <col min="2" max="2" width="11" customWidth="1"/>
    <col min="3" max="3" width="19.28515625" customWidth="1"/>
    <col min="4" max="4" width="2" hidden="1" customWidth="1"/>
    <col min="5" max="5" width="8.140625" customWidth="1"/>
    <col min="6" max="6" width="29.140625" customWidth="1"/>
    <col min="7" max="7" width="12.42578125" customWidth="1"/>
    <col min="8" max="8" width="12.42578125" hidden="1" customWidth="1"/>
    <col min="9" max="9" width="13.85546875" customWidth="1"/>
    <col min="10" max="10" width="16.42578125" hidden="1" customWidth="1"/>
    <col min="11" max="11" width="17.5703125" customWidth="1"/>
    <col min="12" max="12" width="18.42578125" hidden="1" customWidth="1"/>
    <col min="13" max="13" width="10.85546875" customWidth="1"/>
    <col min="14" max="14" width="10.85546875" style="271" customWidth="1"/>
    <col min="15" max="15" width="10.28515625" style="271" customWidth="1"/>
    <col min="16" max="17" width="8.28515625" customWidth="1"/>
    <col min="18" max="18" width="9.5703125" customWidth="1"/>
    <col min="19" max="19" width="13.7109375" customWidth="1"/>
    <col min="20" max="20" width="17.85546875" customWidth="1"/>
    <col min="21" max="21" width="10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10"/>
    </row>
    <row r="2" spans="1:23" ht="51" customHeight="1">
      <c r="A2" s="385"/>
      <c r="B2" s="385"/>
      <c r="C2" s="386" t="s">
        <v>47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3" ht="51" customHeight="1">
      <c r="A3" s="385"/>
      <c r="B3" s="385"/>
      <c r="C3" s="414" t="s">
        <v>251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</row>
    <row r="4" spans="1:23" ht="22.5" customHeight="1">
      <c r="A4" s="385"/>
      <c r="B4" s="385"/>
      <c r="C4" s="409" t="s">
        <v>252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</row>
    <row r="5" spans="1:23" ht="15.75" thickBot="1">
      <c r="A5" s="9"/>
      <c r="B5" s="9"/>
      <c r="F5" s="10"/>
      <c r="M5" s="9"/>
    </row>
    <row r="6" spans="1:23" s="26" customFormat="1" ht="24.95" customHeight="1">
      <c r="A6" s="388" t="s">
        <v>33</v>
      </c>
      <c r="B6" s="389"/>
      <c r="C6" s="410">
        <v>615424332</v>
      </c>
      <c r="D6" s="410"/>
      <c r="E6" s="411"/>
      <c r="F6" s="155"/>
      <c r="M6" s="32"/>
      <c r="N6" s="25"/>
      <c r="O6" s="25"/>
    </row>
    <row r="7" spans="1:23" s="26" customFormat="1" ht="34.5" customHeight="1">
      <c r="A7" s="381" t="s">
        <v>46</v>
      </c>
      <c r="B7" s="382"/>
      <c r="C7" s="412">
        <f>G17</f>
        <v>615424331.99999988</v>
      </c>
      <c r="D7" s="412"/>
      <c r="E7" s="413"/>
      <c r="F7" s="155"/>
      <c r="M7" s="32"/>
      <c r="N7" s="25"/>
      <c r="O7" s="25"/>
    </row>
    <row r="8" spans="1:23" s="26" customFormat="1" ht="24.95" customHeight="1">
      <c r="A8" s="396" t="s">
        <v>2</v>
      </c>
      <c r="B8" s="397"/>
      <c r="C8" s="412">
        <f>I17</f>
        <v>451310656.25999999</v>
      </c>
      <c r="D8" s="412"/>
      <c r="E8" s="413"/>
      <c r="F8" s="155"/>
      <c r="G8" s="269"/>
      <c r="I8" s="122"/>
      <c r="J8" s="219"/>
      <c r="M8" s="32"/>
      <c r="N8" s="25"/>
      <c r="O8" s="25"/>
    </row>
    <row r="9" spans="1:23" s="26" customFormat="1" ht="24.95" customHeight="1" thickBot="1">
      <c r="A9" s="398" t="s">
        <v>7</v>
      </c>
      <c r="B9" s="399"/>
      <c r="C9" s="400">
        <f>C7-C8</f>
        <v>164113675.73999989</v>
      </c>
      <c r="D9" s="400"/>
      <c r="E9" s="401"/>
      <c r="F9" s="155"/>
      <c r="G9" s="31"/>
      <c r="H9" s="31"/>
      <c r="I9" s="31"/>
      <c r="M9" s="32"/>
      <c r="N9" s="25"/>
      <c r="O9" s="25"/>
    </row>
    <row r="10" spans="1:23" s="51" customFormat="1" ht="25.5" customHeight="1" thickTop="1" thickBot="1">
      <c r="A10" s="47"/>
      <c r="B10" s="47"/>
      <c r="C10" s="47"/>
      <c r="D10" s="47"/>
      <c r="E10" s="48"/>
      <c r="F10" s="47"/>
      <c r="G10" s="402" t="s">
        <v>8</v>
      </c>
      <c r="H10" s="405"/>
      <c r="I10" s="404" t="s">
        <v>9</v>
      </c>
      <c r="J10" s="405"/>
      <c r="K10" s="406" t="s">
        <v>10</v>
      </c>
      <c r="L10" s="406"/>
      <c r="M10" s="124"/>
      <c r="N10" s="49"/>
      <c r="O10" s="49"/>
      <c r="P10" s="50"/>
      <c r="Q10" s="50"/>
      <c r="R10" s="50"/>
      <c r="S10" s="424" t="s">
        <v>904</v>
      </c>
      <c r="T10" s="424"/>
      <c r="U10" s="424"/>
      <c r="V10" s="49"/>
    </row>
    <row r="11" spans="1:23" s="117" customFormat="1" ht="42" customHeight="1" thickBot="1">
      <c r="A11" s="125" t="s">
        <v>11</v>
      </c>
      <c r="B11" s="126" t="s">
        <v>12</v>
      </c>
      <c r="C11" s="126" t="s">
        <v>13</v>
      </c>
      <c r="D11" s="126" t="s">
        <v>14</v>
      </c>
      <c r="E11" s="127" t="s">
        <v>15</v>
      </c>
      <c r="F11" s="126" t="s">
        <v>16</v>
      </c>
      <c r="G11" s="128" t="s">
        <v>17</v>
      </c>
      <c r="H11" s="128" t="s">
        <v>248</v>
      </c>
      <c r="I11" s="129" t="s">
        <v>17</v>
      </c>
      <c r="J11" s="129" t="s">
        <v>248</v>
      </c>
      <c r="K11" s="129" t="s">
        <v>17</v>
      </c>
      <c r="L11" s="130" t="s">
        <v>248</v>
      </c>
      <c r="M11" s="126" t="s">
        <v>19</v>
      </c>
      <c r="N11" s="126" t="s">
        <v>20</v>
      </c>
      <c r="O11" s="126" t="s">
        <v>21</v>
      </c>
      <c r="P11" s="407" t="s">
        <v>22</v>
      </c>
      <c r="Q11" s="408"/>
      <c r="R11" s="272" t="s">
        <v>23</v>
      </c>
      <c r="S11" s="126" t="s">
        <v>24</v>
      </c>
      <c r="T11" s="126" t="s">
        <v>25</v>
      </c>
      <c r="U11" s="131" t="s">
        <v>26</v>
      </c>
      <c r="V11" s="116"/>
    </row>
    <row r="12" spans="1:23" s="51" customFormat="1" ht="64.5" customHeight="1" thickTop="1">
      <c r="A12" s="174" t="s">
        <v>246</v>
      </c>
      <c r="B12" s="175">
        <v>44092</v>
      </c>
      <c r="C12" s="176" t="s">
        <v>773</v>
      </c>
      <c r="D12" s="177" t="s">
        <v>35</v>
      </c>
      <c r="E12" s="178" t="s">
        <v>247</v>
      </c>
      <c r="F12" s="179" t="s">
        <v>245</v>
      </c>
      <c r="G12" s="180">
        <f t="shared" ref="G12:G15" si="0">H12</f>
        <v>487673384.82999998</v>
      </c>
      <c r="H12" s="181">
        <v>487673384.82999998</v>
      </c>
      <c r="I12" s="180">
        <f t="shared" ref="I12:I14" si="1">J12</f>
        <v>325805529.40999997</v>
      </c>
      <c r="J12" s="180">
        <f>249224611.92+35103090.37+41478958.12-1131</f>
        <v>325805529.40999997</v>
      </c>
      <c r="K12" s="180">
        <f t="shared" ref="K12:K13" si="2">L12</f>
        <v>161867855.42000002</v>
      </c>
      <c r="L12" s="182">
        <f t="shared" ref="L12:L13" si="3">H12-J12</f>
        <v>161867855.42000002</v>
      </c>
      <c r="M12" s="183" t="s">
        <v>249</v>
      </c>
      <c r="N12" s="184">
        <f>I12/G12</f>
        <v>0.66808142405305515</v>
      </c>
      <c r="O12" s="184">
        <f>N12</f>
        <v>0.66808142405305515</v>
      </c>
      <c r="P12" s="185" t="s">
        <v>250</v>
      </c>
      <c r="Q12" s="186">
        <v>1</v>
      </c>
      <c r="R12" s="118">
        <v>877190</v>
      </c>
      <c r="S12" s="187" t="s">
        <v>28</v>
      </c>
      <c r="T12" s="187" t="s">
        <v>28</v>
      </c>
      <c r="U12" s="188" t="s">
        <v>29</v>
      </c>
      <c r="V12" s="77"/>
      <c r="W12" s="77"/>
    </row>
    <row r="13" spans="1:23" s="51" customFormat="1" ht="64.5" customHeight="1">
      <c r="A13" s="189" t="s">
        <v>246</v>
      </c>
      <c r="B13" s="151">
        <v>43917</v>
      </c>
      <c r="C13" s="152" t="s">
        <v>290</v>
      </c>
      <c r="D13" s="53" t="s">
        <v>35</v>
      </c>
      <c r="E13" s="54" t="s">
        <v>291</v>
      </c>
      <c r="F13" s="150" t="s">
        <v>292</v>
      </c>
      <c r="G13" s="55">
        <f t="shared" si="0"/>
        <v>93467232</v>
      </c>
      <c r="H13" s="153">
        <v>93467232</v>
      </c>
      <c r="I13" s="55">
        <f t="shared" si="1"/>
        <v>93013611.680000007</v>
      </c>
      <c r="J13" s="55">
        <v>93013611.680000007</v>
      </c>
      <c r="K13" s="55">
        <f t="shared" si="2"/>
        <v>453620.31999999285</v>
      </c>
      <c r="L13" s="56">
        <f t="shared" si="3"/>
        <v>453620.31999999285</v>
      </c>
      <c r="M13" s="154" t="s">
        <v>249</v>
      </c>
      <c r="N13" s="234">
        <v>0.99</v>
      </c>
      <c r="O13" s="72">
        <f>N13</f>
        <v>0.99</v>
      </c>
      <c r="P13" s="57" t="s">
        <v>250</v>
      </c>
      <c r="Q13" s="58">
        <v>1</v>
      </c>
      <c r="R13" s="59">
        <v>877190</v>
      </c>
      <c r="S13" s="60" t="s">
        <v>295</v>
      </c>
      <c r="T13" s="60" t="s">
        <v>293</v>
      </c>
      <c r="U13" s="132" t="s">
        <v>294</v>
      </c>
      <c r="V13" s="77"/>
      <c r="W13" s="77"/>
    </row>
    <row r="14" spans="1:23" s="51" customFormat="1" ht="66.75" customHeight="1">
      <c r="A14" s="225" t="s">
        <v>246</v>
      </c>
      <c r="B14" s="175">
        <v>44039</v>
      </c>
      <c r="C14" s="176" t="s">
        <v>481</v>
      </c>
      <c r="D14" s="226"/>
      <c r="E14" s="227" t="s">
        <v>412</v>
      </c>
      <c r="F14" s="179" t="s">
        <v>413</v>
      </c>
      <c r="G14" s="55">
        <f t="shared" si="0"/>
        <v>32491515.170000002</v>
      </c>
      <c r="H14" s="181">
        <v>32491515.170000002</v>
      </c>
      <c r="I14" s="55">
        <f t="shared" si="1"/>
        <v>32491515.170000002</v>
      </c>
      <c r="J14" s="55">
        <v>32491515.170000002</v>
      </c>
      <c r="K14" s="55">
        <f>G14-I14</f>
        <v>0</v>
      </c>
      <c r="L14" s="228"/>
      <c r="M14" s="183" t="s">
        <v>249</v>
      </c>
      <c r="N14" s="72">
        <f>I14/G14</f>
        <v>1</v>
      </c>
      <c r="O14" s="72">
        <f>I14/G14</f>
        <v>1</v>
      </c>
      <c r="P14" s="229" t="s">
        <v>250</v>
      </c>
      <c r="Q14" s="242">
        <v>1</v>
      </c>
      <c r="R14" s="230">
        <v>877190</v>
      </c>
      <c r="S14" s="187" t="s">
        <v>28</v>
      </c>
      <c r="T14" s="187" t="s">
        <v>28</v>
      </c>
      <c r="U14" s="188" t="s">
        <v>29</v>
      </c>
      <c r="V14" s="77"/>
      <c r="W14" s="77"/>
    </row>
    <row r="15" spans="1:23" s="51" customFormat="1" ht="57">
      <c r="A15" s="225" t="s">
        <v>246</v>
      </c>
      <c r="B15" s="175">
        <v>44092</v>
      </c>
      <c r="C15" s="176" t="s">
        <v>774</v>
      </c>
      <c r="D15" s="226"/>
      <c r="E15" s="227" t="s">
        <v>775</v>
      </c>
      <c r="F15" s="179" t="s">
        <v>776</v>
      </c>
      <c r="G15" s="55">
        <f t="shared" si="0"/>
        <v>1792200</v>
      </c>
      <c r="H15" s="181">
        <v>1792200</v>
      </c>
      <c r="I15" s="55">
        <f>J15</f>
        <v>0</v>
      </c>
      <c r="J15" s="55">
        <v>0</v>
      </c>
      <c r="K15" s="55">
        <f>G15-I15</f>
        <v>1792200</v>
      </c>
      <c r="L15" s="228"/>
      <c r="M15" s="183"/>
      <c r="N15" s="234">
        <v>0</v>
      </c>
      <c r="O15" s="234">
        <v>0</v>
      </c>
      <c r="P15" s="229" t="s">
        <v>250</v>
      </c>
      <c r="Q15" s="242">
        <v>1</v>
      </c>
      <c r="R15" s="230">
        <v>877190</v>
      </c>
      <c r="S15" s="187" t="s">
        <v>28</v>
      </c>
      <c r="T15" s="187" t="s">
        <v>28</v>
      </c>
      <c r="U15" s="188" t="s">
        <v>29</v>
      </c>
      <c r="V15" s="77"/>
      <c r="W15" s="77"/>
    </row>
    <row r="16" spans="1:23" s="121" customFormat="1" ht="15.75" customHeight="1" thickBot="1">
      <c r="A16" s="133"/>
      <c r="B16" s="134"/>
      <c r="C16" s="135"/>
      <c r="D16" s="136"/>
      <c r="E16" s="137"/>
      <c r="F16" s="138"/>
      <c r="G16" s="139"/>
      <c r="H16" s="140"/>
      <c r="I16" s="139"/>
      <c r="J16" s="140"/>
      <c r="K16" s="139"/>
      <c r="L16" s="141"/>
      <c r="M16" s="142"/>
      <c r="N16" s="143"/>
      <c r="O16" s="143"/>
      <c r="P16" s="144"/>
      <c r="Q16" s="145"/>
      <c r="R16" s="146"/>
      <c r="S16" s="148"/>
      <c r="T16" s="148"/>
      <c r="U16" s="147"/>
      <c r="V16" s="77"/>
      <c r="W16" s="77"/>
    </row>
    <row r="17" spans="1:22" s="51" customFormat="1" ht="15.75" thickBot="1">
      <c r="A17" s="61"/>
      <c r="B17" s="61"/>
      <c r="C17" s="61"/>
      <c r="D17" s="61"/>
      <c r="E17" s="62"/>
      <c r="F17" s="231" t="s">
        <v>31</v>
      </c>
      <c r="G17" s="232">
        <f>SUM(G12:G16)</f>
        <v>615424331.99999988</v>
      </c>
      <c r="H17" s="232">
        <f t="shared" ref="H17:K17" si="4">SUM(H12:H16)</f>
        <v>615424331.99999988</v>
      </c>
      <c r="I17" s="232">
        <f t="shared" si="4"/>
        <v>451310656.25999999</v>
      </c>
      <c r="J17" s="232">
        <f t="shared" si="4"/>
        <v>451310656.25999999</v>
      </c>
      <c r="K17" s="232">
        <f t="shared" si="4"/>
        <v>164113675.74000001</v>
      </c>
      <c r="L17" s="232">
        <f t="shared" ref="L17" si="5">SUBTOTAL(9,L13:L16)</f>
        <v>453620.31999999285</v>
      </c>
      <c r="M17" s="64"/>
      <c r="N17" s="52"/>
      <c r="O17" s="52"/>
      <c r="P17" s="123"/>
      <c r="Q17" s="66"/>
      <c r="R17" s="66"/>
      <c r="S17" s="63"/>
      <c r="T17" s="52"/>
      <c r="U17" s="52"/>
      <c r="V17" s="52"/>
    </row>
    <row r="18" spans="1:22" s="51" customFormat="1" ht="30" customHeight="1" thickTop="1">
      <c r="A18" s="296" t="s">
        <v>902</v>
      </c>
      <c r="B18" s="296"/>
      <c r="C18" s="297"/>
      <c r="D18" s="296"/>
      <c r="E18" s="296"/>
      <c r="F18" s="298"/>
      <c r="G18" s="114"/>
      <c r="H18" s="114"/>
      <c r="I18" s="68"/>
      <c r="J18" s="68"/>
      <c r="K18" s="68"/>
      <c r="L18" s="69"/>
      <c r="M18" s="63"/>
      <c r="N18" s="52"/>
      <c r="O18" s="52"/>
      <c r="P18" s="65"/>
      <c r="Q18" s="66"/>
      <c r="R18" s="66"/>
      <c r="S18" s="63"/>
      <c r="T18" s="52"/>
      <c r="U18" s="52"/>
    </row>
    <row r="19" spans="1:22">
      <c r="A19" s="70" t="s">
        <v>32</v>
      </c>
      <c r="B19" s="51"/>
      <c r="C19" s="51"/>
      <c r="D19" s="51"/>
      <c r="E19" s="51"/>
      <c r="F19" s="71"/>
      <c r="G19" s="115"/>
      <c r="H19" s="115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2">
      <c r="G20" s="7"/>
      <c r="H20" s="7"/>
      <c r="N20"/>
      <c r="O20"/>
    </row>
    <row r="21" spans="1:22">
      <c r="G21" s="122"/>
      <c r="H21" s="122"/>
      <c r="I21" s="122"/>
      <c r="J21" s="122">
        <f>451311786.97</f>
        <v>451311786.97000003</v>
      </c>
      <c r="K21" s="122"/>
    </row>
    <row r="22" spans="1:22">
      <c r="J22" s="122">
        <v>93013611.680000007</v>
      </c>
    </row>
    <row r="23" spans="1:22">
      <c r="H23" s="299"/>
      <c r="J23">
        <v>32491515.170000002</v>
      </c>
    </row>
    <row r="24" spans="1:22">
      <c r="J24">
        <v>1131</v>
      </c>
    </row>
    <row r="25" spans="1:22">
      <c r="J25" s="11">
        <f>J21-J22-J23</f>
        <v>325806660.12</v>
      </c>
      <c r="K25" s="11"/>
    </row>
  </sheetData>
  <mergeCells count="17">
    <mergeCell ref="S10:U10"/>
    <mergeCell ref="A8:B8"/>
    <mergeCell ref="A2:B4"/>
    <mergeCell ref="C2:U2"/>
    <mergeCell ref="C4:U4"/>
    <mergeCell ref="A6:B6"/>
    <mergeCell ref="A7:B7"/>
    <mergeCell ref="C6:E6"/>
    <mergeCell ref="C7:E7"/>
    <mergeCell ref="C8:E8"/>
    <mergeCell ref="C3:U3"/>
    <mergeCell ref="A9:B9"/>
    <mergeCell ref="G10:H10"/>
    <mergeCell ref="I10:J10"/>
    <mergeCell ref="K10:L10"/>
    <mergeCell ref="P11:Q11"/>
    <mergeCell ref="C9:E9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N18" workbookViewId="0">
      <selection activeCell="U23" sqref="A1:U23"/>
    </sheetView>
  </sheetViews>
  <sheetFormatPr baseColWidth="10" defaultRowHeight="15"/>
  <cols>
    <col min="1" max="1" width="8.85546875" customWidth="1"/>
    <col min="2" max="2" width="11" customWidth="1"/>
    <col min="3" max="3" width="19.28515625" customWidth="1"/>
    <col min="4" max="4" width="2" hidden="1" customWidth="1"/>
    <col min="5" max="5" width="8.140625" customWidth="1"/>
    <col min="6" max="6" width="29.140625" customWidth="1"/>
    <col min="7" max="7" width="12.42578125" customWidth="1"/>
    <col min="8" max="8" width="12.42578125" hidden="1" customWidth="1"/>
    <col min="9" max="9" width="13.85546875" customWidth="1"/>
    <col min="10" max="10" width="12.42578125" hidden="1" customWidth="1"/>
    <col min="11" max="11" width="17.5703125" customWidth="1"/>
    <col min="12" max="12" width="18.42578125" hidden="1" customWidth="1"/>
    <col min="13" max="13" width="10.85546875" customWidth="1"/>
    <col min="14" max="14" width="10.85546875" style="271" customWidth="1"/>
    <col min="15" max="15" width="9" style="271" customWidth="1"/>
    <col min="16" max="16" width="14.140625" customWidth="1"/>
    <col min="17" max="17" width="9" customWidth="1"/>
    <col min="18" max="18" width="9.5703125" customWidth="1"/>
    <col min="19" max="19" width="13.7109375" customWidth="1"/>
    <col min="20" max="20" width="17.85546875" customWidth="1"/>
    <col min="21" max="21" width="10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10"/>
    </row>
    <row r="2" spans="1:23" ht="51" customHeight="1">
      <c r="A2" s="385"/>
      <c r="B2" s="385"/>
      <c r="C2" s="386" t="s">
        <v>47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3" ht="51" customHeight="1">
      <c r="A3" s="385"/>
      <c r="B3" s="385"/>
      <c r="C3" s="414" t="s">
        <v>415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</row>
    <row r="4" spans="1:23" ht="22.5" customHeight="1">
      <c r="A4" s="385"/>
      <c r="B4" s="385"/>
      <c r="C4" s="409" t="s">
        <v>416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</row>
    <row r="5" spans="1:23" ht="15.75" thickBot="1">
      <c r="A5" s="9"/>
      <c r="B5" s="9"/>
      <c r="F5" s="10"/>
      <c r="M5" s="9"/>
    </row>
    <row r="6" spans="1:23" s="26" customFormat="1" ht="24.95" customHeight="1">
      <c r="A6" s="388" t="s">
        <v>33</v>
      </c>
      <c r="B6" s="389"/>
      <c r="C6" s="410">
        <f>G20</f>
        <v>40872690</v>
      </c>
      <c r="D6" s="410"/>
      <c r="E6" s="411"/>
      <c r="F6" s="155"/>
      <c r="M6" s="32"/>
      <c r="N6" s="25"/>
      <c r="O6" s="25"/>
    </row>
    <row r="7" spans="1:23" s="26" customFormat="1" ht="34.5" customHeight="1">
      <c r="A7" s="381" t="s">
        <v>46</v>
      </c>
      <c r="B7" s="382"/>
      <c r="C7" s="412">
        <f>G20</f>
        <v>40872690</v>
      </c>
      <c r="D7" s="412"/>
      <c r="E7" s="413"/>
      <c r="F7" s="155"/>
      <c r="M7" s="32"/>
      <c r="N7" s="25"/>
      <c r="O7" s="25"/>
    </row>
    <row r="8" spans="1:23" s="26" customFormat="1" ht="24.95" customHeight="1">
      <c r="A8" s="396" t="s">
        <v>2</v>
      </c>
      <c r="B8" s="397"/>
      <c r="C8" s="412">
        <f>I20</f>
        <v>31644841.449999999</v>
      </c>
      <c r="D8" s="412"/>
      <c r="E8" s="413"/>
      <c r="F8" s="155"/>
      <c r="I8" s="122"/>
      <c r="J8" s="219"/>
      <c r="M8" s="32"/>
      <c r="N8" s="25"/>
      <c r="O8" s="25"/>
    </row>
    <row r="9" spans="1:23" s="26" customFormat="1" ht="24.95" customHeight="1" thickBot="1">
      <c r="A9" s="398" t="s">
        <v>7</v>
      </c>
      <c r="B9" s="399"/>
      <c r="C9" s="400">
        <f>C7-C8</f>
        <v>9227848.5500000007</v>
      </c>
      <c r="D9" s="400"/>
      <c r="E9" s="401"/>
      <c r="F9" s="155"/>
      <c r="G9" s="31"/>
      <c r="H9" s="31"/>
      <c r="I9" s="31"/>
      <c r="M9" s="32"/>
      <c r="N9" s="25"/>
      <c r="O9" s="25"/>
    </row>
    <row r="10" spans="1:23" s="51" customFormat="1" ht="25.5" customHeight="1" thickTop="1" thickBot="1">
      <c r="A10" s="47"/>
      <c r="B10" s="47"/>
      <c r="C10" s="47"/>
      <c r="D10" s="47"/>
      <c r="E10" s="48"/>
      <c r="F10" s="47"/>
      <c r="G10" s="402" t="s">
        <v>8</v>
      </c>
      <c r="H10" s="405"/>
      <c r="I10" s="404" t="s">
        <v>9</v>
      </c>
      <c r="J10" s="405"/>
      <c r="K10" s="406" t="s">
        <v>10</v>
      </c>
      <c r="L10" s="406"/>
      <c r="M10" s="124"/>
      <c r="N10" s="49"/>
      <c r="O10" s="49"/>
      <c r="P10" s="50"/>
      <c r="Q10" s="50"/>
      <c r="R10" s="50"/>
      <c r="S10" s="424" t="s">
        <v>904</v>
      </c>
      <c r="T10" s="424"/>
      <c r="U10" s="424"/>
      <c r="V10" s="49"/>
    </row>
    <row r="11" spans="1:23" s="117" customFormat="1" ht="42" customHeight="1" thickBot="1">
      <c r="A11" s="125" t="s">
        <v>11</v>
      </c>
      <c r="B11" s="126" t="s">
        <v>12</v>
      </c>
      <c r="C11" s="126" t="s">
        <v>13</v>
      </c>
      <c r="D11" s="126" t="s">
        <v>14</v>
      </c>
      <c r="E11" s="127" t="s">
        <v>15</v>
      </c>
      <c r="F11" s="126" t="s">
        <v>16</v>
      </c>
      <c r="G11" s="128" t="s">
        <v>17</v>
      </c>
      <c r="H11" s="128" t="s">
        <v>248</v>
      </c>
      <c r="I11" s="129" t="s">
        <v>17</v>
      </c>
      <c r="J11" s="129" t="s">
        <v>248</v>
      </c>
      <c r="K11" s="129" t="s">
        <v>17</v>
      </c>
      <c r="L11" s="130" t="s">
        <v>248</v>
      </c>
      <c r="M11" s="126" t="s">
        <v>19</v>
      </c>
      <c r="N11" s="126" t="s">
        <v>20</v>
      </c>
      <c r="O11" s="126" t="s">
        <v>21</v>
      </c>
      <c r="P11" s="407" t="s">
        <v>22</v>
      </c>
      <c r="Q11" s="408"/>
      <c r="R11" s="272" t="s">
        <v>23</v>
      </c>
      <c r="S11" s="126" t="s">
        <v>24</v>
      </c>
      <c r="T11" s="126" t="s">
        <v>25</v>
      </c>
      <c r="U11" s="131" t="s">
        <v>26</v>
      </c>
      <c r="V11" s="116"/>
    </row>
    <row r="12" spans="1:23" s="51" customFormat="1" ht="64.5" customHeight="1" thickTop="1">
      <c r="A12" s="174" t="s">
        <v>246</v>
      </c>
      <c r="B12" s="175">
        <v>43903</v>
      </c>
      <c r="C12" s="176" t="s">
        <v>417</v>
      </c>
      <c r="D12" s="177" t="s">
        <v>35</v>
      </c>
      <c r="E12" s="178" t="s">
        <v>418</v>
      </c>
      <c r="F12" s="179" t="s">
        <v>756</v>
      </c>
      <c r="G12" s="180">
        <f t="shared" ref="G12:G18" si="0">H12</f>
        <v>3661896</v>
      </c>
      <c r="H12" s="181">
        <v>3661896</v>
      </c>
      <c r="I12" s="180">
        <f t="shared" ref="I12:I18" si="1">J12</f>
        <v>3661896</v>
      </c>
      <c r="J12" s="180">
        <v>3661896</v>
      </c>
      <c r="K12" s="180">
        <f t="shared" ref="K12:K13" si="2">L12</f>
        <v>0</v>
      </c>
      <c r="L12" s="182">
        <f t="shared" ref="L12:L13" si="3">H12-J12</f>
        <v>0</v>
      </c>
      <c r="M12" s="183" t="s">
        <v>419</v>
      </c>
      <c r="N12" s="243">
        <f>I12/G12</f>
        <v>1</v>
      </c>
      <c r="O12" s="243">
        <f>N12</f>
        <v>1</v>
      </c>
      <c r="P12" s="185" t="s">
        <v>420</v>
      </c>
      <c r="Q12" s="118">
        <v>497</v>
      </c>
      <c r="R12" s="118">
        <v>497</v>
      </c>
      <c r="S12" s="187" t="s">
        <v>28</v>
      </c>
      <c r="T12" s="187" t="s">
        <v>28</v>
      </c>
      <c r="U12" s="188" t="s">
        <v>29</v>
      </c>
      <c r="V12" s="77"/>
      <c r="W12" s="77"/>
    </row>
    <row r="13" spans="1:23" s="51" customFormat="1" ht="73.5" customHeight="1">
      <c r="A13" s="189" t="s">
        <v>246</v>
      </c>
      <c r="B13" s="151">
        <v>43903</v>
      </c>
      <c r="C13" s="152" t="s">
        <v>417</v>
      </c>
      <c r="D13" s="53" t="s">
        <v>35</v>
      </c>
      <c r="E13" s="54" t="s">
        <v>421</v>
      </c>
      <c r="F13" s="150" t="s">
        <v>422</v>
      </c>
      <c r="G13" s="55">
        <f t="shared" si="0"/>
        <v>6639146</v>
      </c>
      <c r="H13" s="153">
        <v>6639146</v>
      </c>
      <c r="I13" s="55">
        <f t="shared" si="1"/>
        <v>2899100</v>
      </c>
      <c r="J13" s="55">
        <f>72000+333600+276750+474750+536000+536000+670000</f>
        <v>2899100</v>
      </c>
      <c r="K13" s="55">
        <f t="shared" si="2"/>
        <v>3740046</v>
      </c>
      <c r="L13" s="56">
        <f t="shared" si="3"/>
        <v>3740046</v>
      </c>
      <c r="M13" s="154" t="s">
        <v>419</v>
      </c>
      <c r="N13" s="244">
        <f>I13/G13</f>
        <v>0.4366676075507302</v>
      </c>
      <c r="O13" s="244">
        <f>N13</f>
        <v>0.4366676075507302</v>
      </c>
      <c r="P13" s="57" t="s">
        <v>423</v>
      </c>
      <c r="Q13" s="59">
        <v>1623</v>
      </c>
      <c r="R13" s="59" t="s">
        <v>419</v>
      </c>
      <c r="S13" s="187" t="s">
        <v>28</v>
      </c>
      <c r="T13" s="187" t="s">
        <v>28</v>
      </c>
      <c r="U13" s="188" t="s">
        <v>29</v>
      </c>
      <c r="V13" s="77"/>
      <c r="W13" s="77"/>
    </row>
    <row r="14" spans="1:23" s="51" customFormat="1" ht="64.5" customHeight="1">
      <c r="A14" s="189" t="s">
        <v>246</v>
      </c>
      <c r="B14" s="151">
        <v>43903</v>
      </c>
      <c r="C14" s="152" t="s">
        <v>417</v>
      </c>
      <c r="D14" s="226"/>
      <c r="E14" s="227" t="s">
        <v>424</v>
      </c>
      <c r="F14" s="179" t="s">
        <v>425</v>
      </c>
      <c r="G14" s="55">
        <f t="shared" si="0"/>
        <v>20869500</v>
      </c>
      <c r="H14" s="181">
        <v>20869500</v>
      </c>
      <c r="I14" s="55">
        <f t="shared" si="1"/>
        <v>19894300</v>
      </c>
      <c r="J14" s="55">
        <v>19894300</v>
      </c>
      <c r="K14" s="55">
        <f>L14</f>
        <v>975200</v>
      </c>
      <c r="L14" s="228">
        <f>H14-J14</f>
        <v>975200</v>
      </c>
      <c r="M14" s="183" t="s">
        <v>419</v>
      </c>
      <c r="N14" s="234">
        <f>I14/G14</f>
        <v>0.95327152064016862</v>
      </c>
      <c r="O14" s="72">
        <f>N14</f>
        <v>0.95327152064016862</v>
      </c>
      <c r="P14" s="229" t="s">
        <v>423</v>
      </c>
      <c r="Q14" s="59">
        <f>100+25+1550+3100+300+1550+3100+1550+90000+90000+150+50</f>
        <v>191475</v>
      </c>
      <c r="R14" s="230" t="s">
        <v>419</v>
      </c>
      <c r="S14" s="187" t="s">
        <v>28</v>
      </c>
      <c r="T14" s="187" t="s">
        <v>28</v>
      </c>
      <c r="U14" s="188" t="s">
        <v>29</v>
      </c>
      <c r="V14" s="77"/>
      <c r="W14" s="77"/>
    </row>
    <row r="15" spans="1:23" s="51" customFormat="1" ht="64.5" customHeight="1">
      <c r="A15" s="189" t="s">
        <v>246</v>
      </c>
      <c r="B15" s="151">
        <v>43903</v>
      </c>
      <c r="C15" s="152" t="s">
        <v>417</v>
      </c>
      <c r="D15" s="226"/>
      <c r="E15" s="227" t="s">
        <v>426</v>
      </c>
      <c r="F15" s="179" t="s">
        <v>427</v>
      </c>
      <c r="G15" s="55">
        <f t="shared" si="0"/>
        <v>1650000</v>
      </c>
      <c r="H15" s="181">
        <v>1650000</v>
      </c>
      <c r="I15" s="55">
        <f t="shared" si="1"/>
        <v>742500</v>
      </c>
      <c r="J15" s="55">
        <f>742500</f>
        <v>742500</v>
      </c>
      <c r="K15" s="55">
        <f>H15-J15</f>
        <v>907500</v>
      </c>
      <c r="L15" s="228"/>
      <c r="M15" s="183" t="s">
        <v>419</v>
      </c>
      <c r="N15" s="72">
        <f t="shared" ref="N15:N18" si="4">I15/G15</f>
        <v>0.45</v>
      </c>
      <c r="O15" s="244">
        <f t="shared" ref="O15:O18" si="5">N15</f>
        <v>0.45</v>
      </c>
      <c r="P15" s="229" t="s">
        <v>423</v>
      </c>
      <c r="Q15" s="59">
        <v>4</v>
      </c>
      <c r="R15" s="230" t="s">
        <v>419</v>
      </c>
      <c r="S15" s="187" t="s">
        <v>28</v>
      </c>
      <c r="T15" s="187" t="s">
        <v>28</v>
      </c>
      <c r="U15" s="188" t="s">
        <v>29</v>
      </c>
      <c r="V15" s="77"/>
      <c r="W15" s="77"/>
    </row>
    <row r="16" spans="1:23" s="51" customFormat="1" ht="64.5" customHeight="1">
      <c r="A16" s="189" t="s">
        <v>246</v>
      </c>
      <c r="B16" s="151">
        <v>43903</v>
      </c>
      <c r="C16" s="152" t="s">
        <v>417</v>
      </c>
      <c r="D16" s="226"/>
      <c r="E16" s="227" t="s">
        <v>428</v>
      </c>
      <c r="F16" s="179" t="s">
        <v>429</v>
      </c>
      <c r="G16" s="55">
        <f t="shared" si="0"/>
        <v>700033</v>
      </c>
      <c r="H16" s="181">
        <v>700033</v>
      </c>
      <c r="I16" s="55">
        <f t="shared" si="1"/>
        <v>0</v>
      </c>
      <c r="J16" s="55">
        <v>0</v>
      </c>
      <c r="K16" s="55">
        <f>H16</f>
        <v>700033</v>
      </c>
      <c r="L16" s="228"/>
      <c r="M16" s="183" t="s">
        <v>419</v>
      </c>
      <c r="N16" s="72">
        <f t="shared" si="4"/>
        <v>0</v>
      </c>
      <c r="O16" s="72">
        <f t="shared" si="5"/>
        <v>0</v>
      </c>
      <c r="P16" s="229" t="s">
        <v>423</v>
      </c>
      <c r="Q16" s="59">
        <v>46</v>
      </c>
      <c r="R16" s="230" t="s">
        <v>419</v>
      </c>
      <c r="S16" s="187" t="s">
        <v>28</v>
      </c>
      <c r="T16" s="187" t="s">
        <v>28</v>
      </c>
      <c r="U16" s="188" t="s">
        <v>29</v>
      </c>
      <c r="V16" s="77"/>
      <c r="W16" s="77"/>
    </row>
    <row r="17" spans="1:23" s="51" customFormat="1" ht="64.5" customHeight="1">
      <c r="A17" s="189" t="s">
        <v>246</v>
      </c>
      <c r="B17" s="151">
        <v>43903</v>
      </c>
      <c r="C17" s="152" t="s">
        <v>417</v>
      </c>
      <c r="D17" s="226"/>
      <c r="E17" s="227" t="s">
        <v>430</v>
      </c>
      <c r="F17" s="179" t="s">
        <v>431</v>
      </c>
      <c r="G17" s="55">
        <f t="shared" si="0"/>
        <v>540000</v>
      </c>
      <c r="H17" s="181">
        <v>540000</v>
      </c>
      <c r="I17" s="55">
        <f t="shared" si="1"/>
        <v>0</v>
      </c>
      <c r="J17" s="55">
        <v>0</v>
      </c>
      <c r="K17" s="55">
        <f>G17-I17</f>
        <v>540000</v>
      </c>
      <c r="L17" s="228"/>
      <c r="M17" s="183" t="s">
        <v>419</v>
      </c>
      <c r="N17" s="244">
        <f t="shared" si="4"/>
        <v>0</v>
      </c>
      <c r="O17" s="244">
        <f t="shared" si="5"/>
        <v>0</v>
      </c>
      <c r="P17" s="229" t="s">
        <v>432</v>
      </c>
      <c r="Q17" s="59">
        <v>15</v>
      </c>
      <c r="R17" s="230" t="s">
        <v>419</v>
      </c>
      <c r="S17" s="187" t="s">
        <v>28</v>
      </c>
      <c r="T17" s="187" t="s">
        <v>28</v>
      </c>
      <c r="U17" s="188" t="s">
        <v>29</v>
      </c>
      <c r="V17" s="77"/>
      <c r="W17" s="77"/>
    </row>
    <row r="18" spans="1:23" s="51" customFormat="1" ht="64.5" customHeight="1">
      <c r="A18" s="225" t="s">
        <v>246</v>
      </c>
      <c r="B18" s="175">
        <v>43903</v>
      </c>
      <c r="C18" s="176" t="s">
        <v>417</v>
      </c>
      <c r="D18" s="226"/>
      <c r="E18" s="227" t="s">
        <v>433</v>
      </c>
      <c r="F18" s="179" t="s">
        <v>434</v>
      </c>
      <c r="G18" s="233">
        <f t="shared" si="0"/>
        <v>6812115</v>
      </c>
      <c r="H18" s="181">
        <v>6812115</v>
      </c>
      <c r="I18" s="233">
        <f t="shared" si="1"/>
        <v>4447045.45</v>
      </c>
      <c r="J18" s="233">
        <f>2997705.79+485996.91+483021.7+480321.05</f>
        <v>4447045.45</v>
      </c>
      <c r="K18" s="55">
        <f>G18-I18</f>
        <v>2365069.5499999998</v>
      </c>
      <c r="L18" s="228"/>
      <c r="M18" s="183" t="s">
        <v>419</v>
      </c>
      <c r="N18" s="72">
        <f t="shared" si="4"/>
        <v>0.65281420674783086</v>
      </c>
      <c r="O18" s="72">
        <f t="shared" si="5"/>
        <v>0.65281420674783086</v>
      </c>
      <c r="P18" s="229" t="s">
        <v>435</v>
      </c>
      <c r="Q18" s="230">
        <v>1</v>
      </c>
      <c r="R18" s="230" t="s">
        <v>419</v>
      </c>
      <c r="S18" s="187" t="s">
        <v>28</v>
      </c>
      <c r="T18" s="187" t="s">
        <v>28</v>
      </c>
      <c r="U18" s="188" t="s">
        <v>29</v>
      </c>
      <c r="V18" s="77"/>
      <c r="W18" s="77"/>
    </row>
    <row r="19" spans="1:23" s="121" customFormat="1" ht="15.75" customHeight="1" thickBot="1">
      <c r="A19" s="133"/>
      <c r="B19" s="134"/>
      <c r="C19" s="135"/>
      <c r="D19" s="136"/>
      <c r="E19" s="137"/>
      <c r="F19" s="138"/>
      <c r="G19" s="139"/>
      <c r="H19" s="140"/>
      <c r="I19" s="139"/>
      <c r="J19" s="140"/>
      <c r="K19" s="139"/>
      <c r="L19" s="141"/>
      <c r="M19" s="142"/>
      <c r="N19" s="143"/>
      <c r="O19" s="143"/>
      <c r="P19" s="144"/>
      <c r="Q19" s="145"/>
      <c r="R19" s="146"/>
      <c r="S19" s="148"/>
      <c r="T19" s="148"/>
      <c r="U19" s="147"/>
      <c r="V19" s="77"/>
      <c r="W19" s="77"/>
    </row>
    <row r="20" spans="1:23" s="51" customFormat="1" ht="15.75" thickBot="1">
      <c r="A20" s="61"/>
      <c r="B20" s="61"/>
      <c r="C20" s="61"/>
      <c r="D20" s="61"/>
      <c r="E20" s="62"/>
      <c r="F20" s="231" t="s">
        <v>31</v>
      </c>
      <c r="G20" s="232">
        <f>SUM(G12:G19)</f>
        <v>40872690</v>
      </c>
      <c r="H20" s="232">
        <f t="shared" ref="H20:K20" si="6">SUM(H12:H19)</f>
        <v>40872690</v>
      </c>
      <c r="I20" s="232">
        <f t="shared" si="6"/>
        <v>31644841.449999999</v>
      </c>
      <c r="J20" s="232">
        <f t="shared" si="6"/>
        <v>31644841.449999999</v>
      </c>
      <c r="K20" s="232">
        <f t="shared" si="6"/>
        <v>9227848.5500000007</v>
      </c>
      <c r="L20" s="232">
        <f t="shared" ref="L20" si="7">SUBTOTAL(9,L13:L19)</f>
        <v>4715246</v>
      </c>
      <c r="M20" s="64"/>
      <c r="N20" s="52"/>
      <c r="O20" s="52"/>
      <c r="P20" s="123"/>
      <c r="Q20" s="66"/>
      <c r="R20" s="66"/>
      <c r="S20" s="63"/>
      <c r="T20" s="52"/>
      <c r="U20" s="52"/>
      <c r="V20" s="52"/>
    </row>
    <row r="21" spans="1:23" s="51" customFormat="1" ht="15.75" thickTop="1">
      <c r="A21" s="52"/>
      <c r="B21" s="52"/>
      <c r="C21" s="106"/>
      <c r="D21" s="52"/>
      <c r="E21" s="67"/>
      <c r="F21" s="107"/>
      <c r="G21" s="114"/>
      <c r="H21" s="114"/>
      <c r="I21" s="68"/>
      <c r="J21" s="68"/>
      <c r="K21" s="68"/>
      <c r="L21" s="69"/>
      <c r="M21" s="63"/>
      <c r="N21" s="52"/>
      <c r="O21" s="52"/>
      <c r="P21" s="65"/>
      <c r="Q21" s="66"/>
      <c r="R21" s="66"/>
      <c r="S21" s="63"/>
      <c r="T21" s="52"/>
      <c r="U21" s="52"/>
    </row>
    <row r="22" spans="1:23">
      <c r="A22" s="70" t="s">
        <v>32</v>
      </c>
      <c r="B22" s="51"/>
      <c r="C22" s="51"/>
      <c r="D22" s="51"/>
      <c r="E22" s="51"/>
      <c r="F22" s="71"/>
      <c r="G22" s="115"/>
      <c r="H22" s="11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3">
      <c r="G23" s="7"/>
      <c r="H23" s="7"/>
      <c r="N23"/>
      <c r="O23"/>
    </row>
    <row r="24" spans="1:23">
      <c r="G24" s="122"/>
      <c r="H24" s="122"/>
      <c r="I24" s="122"/>
      <c r="J24" s="122"/>
      <c r="K24" s="122"/>
    </row>
    <row r="25" spans="1:23">
      <c r="J25" s="23"/>
    </row>
    <row r="29" spans="1:23">
      <c r="J29" s="23"/>
    </row>
    <row r="30" spans="1:23">
      <c r="J30" s="23"/>
    </row>
  </sheetData>
  <mergeCells count="17">
    <mergeCell ref="S10:U10"/>
    <mergeCell ref="C2:U2"/>
    <mergeCell ref="C3:U3"/>
    <mergeCell ref="A7:B7"/>
    <mergeCell ref="C7:E7"/>
    <mergeCell ref="A2:B4"/>
    <mergeCell ref="C4:U4"/>
    <mergeCell ref="A6:B6"/>
    <mergeCell ref="C6:E6"/>
    <mergeCell ref="I10:J10"/>
    <mergeCell ref="K10:L10"/>
    <mergeCell ref="P11:Q11"/>
    <mergeCell ref="A8:B8"/>
    <mergeCell ref="C8:E8"/>
    <mergeCell ref="A9:B9"/>
    <mergeCell ref="C9:E9"/>
    <mergeCell ref="G10:H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6"/>
  <sheetViews>
    <sheetView topLeftCell="M1" workbookViewId="0">
      <selection activeCell="T6" sqref="T6"/>
    </sheetView>
  </sheetViews>
  <sheetFormatPr baseColWidth="10" defaultRowHeight="15"/>
  <cols>
    <col min="3" max="3" width="14.85546875" customWidth="1"/>
    <col min="4" max="4" width="0" hidden="1" customWidth="1"/>
    <col min="5" max="5" width="6.28515625" customWidth="1"/>
    <col min="6" max="6" width="38.140625" customWidth="1"/>
    <col min="7" max="7" width="14" customWidth="1"/>
    <col min="8" max="8" width="13.85546875" hidden="1" customWidth="1"/>
    <col min="9" max="9" width="13.7109375" customWidth="1"/>
    <col min="10" max="10" width="11.42578125" hidden="1" customWidth="1"/>
    <col min="11" max="11" width="15.42578125" customWidth="1"/>
    <col min="12" max="12" width="0" hidden="1" customWidth="1"/>
    <col min="13" max="13" width="13.85546875" customWidth="1"/>
  </cols>
  <sheetData>
    <row r="2" spans="1:23" ht="51" customHeight="1">
      <c r="A2" s="385"/>
      <c r="B2" s="385"/>
      <c r="C2" s="386" t="s">
        <v>47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3" ht="51" customHeight="1">
      <c r="A3" s="385"/>
      <c r="B3" s="385"/>
      <c r="C3" s="416" t="s">
        <v>335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300"/>
      <c r="W3" s="300"/>
    </row>
    <row r="4" spans="1:23" ht="15.75" thickBot="1">
      <c r="A4" s="9"/>
      <c r="B4" s="9"/>
      <c r="F4" s="10"/>
      <c r="K4" s="9"/>
      <c r="L4" s="271"/>
      <c r="M4" s="271"/>
      <c r="R4" s="28"/>
    </row>
    <row r="5" spans="1:23" s="26" customFormat="1" ht="24.95" customHeight="1">
      <c r="A5" s="388" t="s">
        <v>33</v>
      </c>
      <c r="B5" s="389"/>
      <c r="C5" s="410">
        <v>227557903</v>
      </c>
      <c r="D5" s="410"/>
      <c r="E5" s="411"/>
      <c r="F5" s="31"/>
      <c r="K5" s="32"/>
      <c r="L5" s="25"/>
      <c r="M5" s="25"/>
      <c r="R5" s="28"/>
    </row>
    <row r="6" spans="1:23" s="26" customFormat="1" ht="34.5" customHeight="1">
      <c r="A6" s="381" t="s">
        <v>46</v>
      </c>
      <c r="B6" s="382"/>
      <c r="C6" s="412">
        <f>G134</f>
        <v>221182900.54000011</v>
      </c>
      <c r="D6" s="412"/>
      <c r="E6" s="413"/>
      <c r="F6" s="31"/>
      <c r="K6" s="32"/>
      <c r="L6" s="25"/>
      <c r="M6" s="25"/>
      <c r="R6" s="28"/>
    </row>
    <row r="7" spans="1:23" s="26" customFormat="1" ht="24.95" customHeight="1">
      <c r="A7" s="396" t="s">
        <v>2</v>
      </c>
      <c r="B7" s="397"/>
      <c r="C7" s="412">
        <f>I134</f>
        <v>36085171.340000004</v>
      </c>
      <c r="D7" s="412"/>
      <c r="E7" s="413"/>
      <c r="F7" s="31"/>
      <c r="K7" s="32"/>
      <c r="L7" s="25"/>
      <c r="M7" s="25"/>
      <c r="R7" s="28"/>
    </row>
    <row r="8" spans="1:23" s="26" customFormat="1" ht="24.95" customHeight="1" thickBot="1">
      <c r="A8" s="398" t="s">
        <v>7</v>
      </c>
      <c r="B8" s="399"/>
      <c r="C8" s="400">
        <f>C5-C6</f>
        <v>6375002.4599998891</v>
      </c>
      <c r="D8" s="400"/>
      <c r="E8" s="401"/>
      <c r="F8" s="87"/>
      <c r="G8" s="31"/>
      <c r="H8" s="31"/>
      <c r="I8" s="31"/>
      <c r="K8" s="32"/>
      <c r="L8" s="25"/>
      <c r="M8" s="25"/>
      <c r="R8" s="28"/>
    </row>
    <row r="12" spans="1:23" ht="19.5" customHeight="1" thickBot="1">
      <c r="L12" s="250"/>
      <c r="M12" s="250"/>
      <c r="P12" s="9"/>
      <c r="S12" s="424" t="s">
        <v>904</v>
      </c>
      <c r="T12" s="424"/>
      <c r="U12" s="424"/>
    </row>
    <row r="13" spans="1:23" ht="16.5" thickTop="1" thickBot="1">
      <c r="A13" s="190"/>
      <c r="B13" s="190"/>
      <c r="C13" s="190"/>
      <c r="D13" s="190"/>
      <c r="E13" s="190"/>
      <c r="F13" s="190"/>
      <c r="G13" s="191" t="s">
        <v>8</v>
      </c>
      <c r="H13" s="192"/>
      <c r="I13" s="193" t="s">
        <v>9</v>
      </c>
      <c r="J13" s="192"/>
      <c r="K13" s="194" t="s">
        <v>10</v>
      </c>
      <c r="L13" s="195" t="s">
        <v>299</v>
      </c>
      <c r="M13" s="196"/>
      <c r="N13" s="197"/>
      <c r="O13" s="197"/>
      <c r="P13" s="197"/>
      <c r="Q13" s="197"/>
      <c r="R13" s="197"/>
      <c r="S13" s="198"/>
      <c r="T13" s="197"/>
      <c r="U13" s="197"/>
    </row>
    <row r="14" spans="1:23" ht="24.75" customHeight="1" thickTop="1" thickBot="1">
      <c r="A14" s="251" t="s">
        <v>11</v>
      </c>
      <c r="B14" s="252" t="s">
        <v>12</v>
      </c>
      <c r="C14" s="252" t="s">
        <v>13</v>
      </c>
      <c r="D14" s="252" t="s">
        <v>300</v>
      </c>
      <c r="E14" s="252" t="s">
        <v>301</v>
      </c>
      <c r="F14" s="252" t="s">
        <v>16</v>
      </c>
      <c r="G14" s="253" t="s">
        <v>17</v>
      </c>
      <c r="H14" s="253" t="s">
        <v>302</v>
      </c>
      <c r="I14" s="253" t="s">
        <v>17</v>
      </c>
      <c r="J14" s="253" t="s">
        <v>302</v>
      </c>
      <c r="K14" s="253" t="s">
        <v>17</v>
      </c>
      <c r="L14" s="253" t="s">
        <v>299</v>
      </c>
      <c r="M14" s="252" t="s">
        <v>19</v>
      </c>
      <c r="N14" s="252" t="s">
        <v>303</v>
      </c>
      <c r="O14" s="252" t="s">
        <v>304</v>
      </c>
      <c r="P14" s="417" t="s">
        <v>22</v>
      </c>
      <c r="Q14" s="418"/>
      <c r="R14" s="252" t="s">
        <v>23</v>
      </c>
      <c r="S14" s="252" t="s">
        <v>305</v>
      </c>
      <c r="T14" s="252" t="s">
        <v>25</v>
      </c>
      <c r="U14" s="254" t="s">
        <v>26</v>
      </c>
    </row>
    <row r="15" spans="1:23" s="28" customFormat="1" ht="89.1" customHeight="1">
      <c r="A15" s="301" t="s">
        <v>67</v>
      </c>
      <c r="B15" s="302">
        <v>43971</v>
      </c>
      <c r="C15" s="303" t="s">
        <v>306</v>
      </c>
      <c r="D15" s="304" t="s">
        <v>307</v>
      </c>
      <c r="E15" s="305" t="s">
        <v>308</v>
      </c>
      <c r="F15" s="306" t="s">
        <v>777</v>
      </c>
      <c r="G15" s="307">
        <v>0</v>
      </c>
      <c r="H15" s="308">
        <v>1931571.54</v>
      </c>
      <c r="I15" s="307">
        <f t="shared" ref="I15:I24" si="0">J15</f>
        <v>0</v>
      </c>
      <c r="J15" s="307">
        <v>0</v>
      </c>
      <c r="K15" s="309">
        <f>G15-I15</f>
        <v>0</v>
      </c>
      <c r="L15" s="310">
        <f>I15</f>
        <v>0</v>
      </c>
      <c r="M15" s="311" t="s">
        <v>309</v>
      </c>
      <c r="N15" s="312" t="e">
        <f t="shared" ref="N15:N132" si="1">I15/G15</f>
        <v>#DIV/0!</v>
      </c>
      <c r="O15" s="312">
        <v>0</v>
      </c>
      <c r="P15" s="313" t="s">
        <v>141</v>
      </c>
      <c r="Q15" s="314">
        <v>1034.17</v>
      </c>
      <c r="R15" s="315" t="s">
        <v>310</v>
      </c>
      <c r="S15" s="303"/>
      <c r="T15" s="303"/>
      <c r="U15" s="303"/>
    </row>
    <row r="16" spans="1:23" s="28" customFormat="1" ht="89.1" customHeight="1">
      <c r="A16" s="53" t="s">
        <v>67</v>
      </c>
      <c r="B16" s="289">
        <v>43971</v>
      </c>
      <c r="C16" s="290" t="s">
        <v>311</v>
      </c>
      <c r="D16" s="54" t="s">
        <v>307</v>
      </c>
      <c r="E16" s="316" t="s">
        <v>312</v>
      </c>
      <c r="F16" s="317" t="s">
        <v>778</v>
      </c>
      <c r="G16" s="55">
        <v>0</v>
      </c>
      <c r="H16" s="318">
        <v>2082877.25</v>
      </c>
      <c r="I16" s="55">
        <f t="shared" si="0"/>
        <v>0</v>
      </c>
      <c r="J16" s="55">
        <v>0</v>
      </c>
      <c r="K16" s="319">
        <f t="shared" ref="K16:K132" si="2">G16-I16</f>
        <v>0</v>
      </c>
      <c r="L16" s="319">
        <f t="shared" ref="L16:L25" si="3">I16</f>
        <v>0</v>
      </c>
      <c r="M16" s="293" t="s">
        <v>309</v>
      </c>
      <c r="N16" s="320" t="e">
        <f t="shared" si="1"/>
        <v>#DIV/0!</v>
      </c>
      <c r="O16" s="320">
        <v>0</v>
      </c>
      <c r="P16" s="321" t="s">
        <v>141</v>
      </c>
      <c r="Q16" s="58">
        <v>1313.13</v>
      </c>
      <c r="R16" s="322" t="s">
        <v>313</v>
      </c>
      <c r="S16" s="290"/>
      <c r="T16" s="290"/>
      <c r="U16" s="290"/>
    </row>
    <row r="17" spans="1:21" s="28" customFormat="1" ht="89.1" customHeight="1">
      <c r="A17" s="53" t="s">
        <v>67</v>
      </c>
      <c r="B17" s="289">
        <v>43971</v>
      </c>
      <c r="C17" s="290" t="s">
        <v>314</v>
      </c>
      <c r="D17" s="54" t="s">
        <v>307</v>
      </c>
      <c r="E17" s="316" t="s">
        <v>315</v>
      </c>
      <c r="F17" s="317" t="s">
        <v>779</v>
      </c>
      <c r="G17" s="55">
        <v>0</v>
      </c>
      <c r="H17" s="318">
        <v>2176247.44</v>
      </c>
      <c r="I17" s="55">
        <f t="shared" si="0"/>
        <v>0</v>
      </c>
      <c r="J17" s="55">
        <v>0</v>
      </c>
      <c r="K17" s="319">
        <f t="shared" si="2"/>
        <v>0</v>
      </c>
      <c r="L17" s="319">
        <f t="shared" si="3"/>
        <v>0</v>
      </c>
      <c r="M17" s="293" t="s">
        <v>309</v>
      </c>
      <c r="N17" s="320" t="e">
        <f t="shared" si="1"/>
        <v>#DIV/0!</v>
      </c>
      <c r="O17" s="320">
        <v>0</v>
      </c>
      <c r="P17" s="321" t="s">
        <v>141</v>
      </c>
      <c r="Q17" s="58">
        <v>1391.59</v>
      </c>
      <c r="R17" s="322" t="s">
        <v>316</v>
      </c>
      <c r="S17" s="290"/>
      <c r="T17" s="290"/>
      <c r="U17" s="290"/>
    </row>
    <row r="18" spans="1:21" s="28" customFormat="1" ht="89.1" customHeight="1">
      <c r="A18" s="53" t="s">
        <v>67</v>
      </c>
      <c r="B18" s="289">
        <v>43971</v>
      </c>
      <c r="C18" s="290" t="s">
        <v>317</v>
      </c>
      <c r="D18" s="54" t="s">
        <v>307</v>
      </c>
      <c r="E18" s="316" t="s">
        <v>318</v>
      </c>
      <c r="F18" s="317" t="s">
        <v>780</v>
      </c>
      <c r="G18" s="55">
        <v>0</v>
      </c>
      <c r="H18" s="318">
        <v>2500000</v>
      </c>
      <c r="I18" s="55">
        <f t="shared" si="0"/>
        <v>0</v>
      </c>
      <c r="J18" s="55">
        <v>0</v>
      </c>
      <c r="K18" s="319">
        <f t="shared" si="2"/>
        <v>0</v>
      </c>
      <c r="L18" s="319">
        <f t="shared" si="3"/>
        <v>0</v>
      </c>
      <c r="M18" s="293" t="s">
        <v>309</v>
      </c>
      <c r="N18" s="320" t="e">
        <f t="shared" si="1"/>
        <v>#DIV/0!</v>
      </c>
      <c r="O18" s="320">
        <v>0</v>
      </c>
      <c r="P18" s="321" t="s">
        <v>141</v>
      </c>
      <c r="Q18" s="58">
        <v>1480.26</v>
      </c>
      <c r="R18" s="322" t="s">
        <v>316</v>
      </c>
      <c r="S18" s="290"/>
      <c r="T18" s="290"/>
      <c r="U18" s="290"/>
    </row>
    <row r="19" spans="1:21" s="28" customFormat="1" ht="89.1" customHeight="1">
      <c r="A19" s="53" t="s">
        <v>67</v>
      </c>
      <c r="B19" s="289">
        <v>43971</v>
      </c>
      <c r="C19" s="290" t="s">
        <v>319</v>
      </c>
      <c r="D19" s="54" t="s">
        <v>307</v>
      </c>
      <c r="E19" s="316" t="s">
        <v>320</v>
      </c>
      <c r="F19" s="317" t="s">
        <v>781</v>
      </c>
      <c r="G19" s="55">
        <v>0</v>
      </c>
      <c r="H19" s="318">
        <v>2500000</v>
      </c>
      <c r="I19" s="55">
        <f t="shared" si="0"/>
        <v>0</v>
      </c>
      <c r="J19" s="55">
        <v>0</v>
      </c>
      <c r="K19" s="319">
        <f t="shared" si="2"/>
        <v>0</v>
      </c>
      <c r="L19" s="319">
        <f t="shared" si="3"/>
        <v>0</v>
      </c>
      <c r="M19" s="293" t="s">
        <v>309</v>
      </c>
      <c r="N19" s="320" t="e">
        <f t="shared" si="1"/>
        <v>#DIV/0!</v>
      </c>
      <c r="O19" s="320">
        <v>0</v>
      </c>
      <c r="P19" s="321" t="s">
        <v>141</v>
      </c>
      <c r="Q19" s="58">
        <v>1381.09</v>
      </c>
      <c r="R19" s="322" t="s">
        <v>316</v>
      </c>
      <c r="S19" s="290"/>
      <c r="T19" s="290"/>
      <c r="U19" s="290"/>
    </row>
    <row r="20" spans="1:21" s="28" customFormat="1" ht="89.1" customHeight="1">
      <c r="A20" s="53" t="s">
        <v>67</v>
      </c>
      <c r="B20" s="289">
        <v>43971</v>
      </c>
      <c r="C20" s="290" t="s">
        <v>321</v>
      </c>
      <c r="D20" s="54" t="s">
        <v>307</v>
      </c>
      <c r="E20" s="316" t="s">
        <v>322</v>
      </c>
      <c r="F20" s="317" t="s">
        <v>782</v>
      </c>
      <c r="G20" s="55">
        <v>0</v>
      </c>
      <c r="H20" s="318">
        <v>2220866.19</v>
      </c>
      <c r="I20" s="55">
        <f t="shared" si="0"/>
        <v>0</v>
      </c>
      <c r="J20" s="55">
        <v>0</v>
      </c>
      <c r="K20" s="319">
        <f t="shared" si="2"/>
        <v>0</v>
      </c>
      <c r="L20" s="319">
        <f t="shared" si="3"/>
        <v>0</v>
      </c>
      <c r="M20" s="293" t="s">
        <v>309</v>
      </c>
      <c r="N20" s="320" t="e">
        <f t="shared" si="1"/>
        <v>#DIV/0!</v>
      </c>
      <c r="O20" s="320">
        <v>0</v>
      </c>
      <c r="P20" s="321" t="s">
        <v>141</v>
      </c>
      <c r="Q20" s="58">
        <v>1377.21</v>
      </c>
      <c r="R20" s="322" t="s">
        <v>316</v>
      </c>
      <c r="S20" s="290"/>
      <c r="T20" s="290"/>
      <c r="U20" s="290"/>
    </row>
    <row r="21" spans="1:21" s="28" customFormat="1" ht="89.1" customHeight="1">
      <c r="A21" s="53" t="s">
        <v>67</v>
      </c>
      <c r="B21" s="289">
        <v>43971</v>
      </c>
      <c r="C21" s="290" t="s">
        <v>323</v>
      </c>
      <c r="D21" s="54" t="s">
        <v>307</v>
      </c>
      <c r="E21" s="316" t="s">
        <v>324</v>
      </c>
      <c r="F21" s="317" t="s">
        <v>783</v>
      </c>
      <c r="G21" s="55">
        <v>0</v>
      </c>
      <c r="H21" s="318">
        <v>1027751.29</v>
      </c>
      <c r="I21" s="55">
        <f t="shared" si="0"/>
        <v>0</v>
      </c>
      <c r="J21" s="55">
        <v>0</v>
      </c>
      <c r="K21" s="319">
        <f t="shared" si="2"/>
        <v>0</v>
      </c>
      <c r="L21" s="319">
        <f t="shared" si="3"/>
        <v>0</v>
      </c>
      <c r="M21" s="293" t="s">
        <v>309</v>
      </c>
      <c r="N21" s="320" t="e">
        <f t="shared" si="1"/>
        <v>#DIV/0!</v>
      </c>
      <c r="O21" s="320">
        <v>0</v>
      </c>
      <c r="P21" s="321" t="s">
        <v>141</v>
      </c>
      <c r="Q21" s="58">
        <v>408.6</v>
      </c>
      <c r="R21" s="322" t="s">
        <v>310</v>
      </c>
      <c r="S21" s="290"/>
      <c r="T21" s="290"/>
      <c r="U21" s="290"/>
    </row>
    <row r="22" spans="1:21" s="28" customFormat="1" ht="89.1" customHeight="1">
      <c r="A22" s="53" t="s">
        <v>67</v>
      </c>
      <c r="B22" s="289">
        <v>43971</v>
      </c>
      <c r="C22" s="290" t="s">
        <v>325</v>
      </c>
      <c r="D22" s="54" t="s">
        <v>307</v>
      </c>
      <c r="E22" s="316" t="s">
        <v>326</v>
      </c>
      <c r="F22" s="317" t="s">
        <v>784</v>
      </c>
      <c r="G22" s="55">
        <v>0</v>
      </c>
      <c r="H22" s="318">
        <v>2484113.29</v>
      </c>
      <c r="I22" s="55">
        <f t="shared" si="0"/>
        <v>0</v>
      </c>
      <c r="J22" s="55">
        <v>0</v>
      </c>
      <c r="K22" s="319">
        <f t="shared" si="2"/>
        <v>0</v>
      </c>
      <c r="L22" s="319">
        <f t="shared" si="3"/>
        <v>0</v>
      </c>
      <c r="M22" s="293" t="s">
        <v>309</v>
      </c>
      <c r="N22" s="320" t="e">
        <f t="shared" si="1"/>
        <v>#DIV/0!</v>
      </c>
      <c r="O22" s="320">
        <v>0</v>
      </c>
      <c r="P22" s="321" t="s">
        <v>141</v>
      </c>
      <c r="Q22" s="58">
        <v>1164.8900000000001</v>
      </c>
      <c r="R22" s="322" t="s">
        <v>316</v>
      </c>
      <c r="S22" s="290"/>
      <c r="T22" s="290"/>
      <c r="U22" s="290"/>
    </row>
    <row r="23" spans="1:21" s="28" customFormat="1" ht="89.1" customHeight="1">
      <c r="A23" s="53" t="s">
        <v>67</v>
      </c>
      <c r="B23" s="289">
        <v>43971</v>
      </c>
      <c r="C23" s="290" t="s">
        <v>327</v>
      </c>
      <c r="D23" s="54" t="s">
        <v>307</v>
      </c>
      <c r="E23" s="316" t="s">
        <v>328</v>
      </c>
      <c r="F23" s="317" t="s">
        <v>785</v>
      </c>
      <c r="G23" s="55">
        <v>0</v>
      </c>
      <c r="H23" s="318">
        <v>2070634.85</v>
      </c>
      <c r="I23" s="55">
        <f t="shared" si="0"/>
        <v>0</v>
      </c>
      <c r="J23" s="55">
        <v>0</v>
      </c>
      <c r="K23" s="319">
        <f t="shared" si="2"/>
        <v>0</v>
      </c>
      <c r="L23" s="319">
        <f t="shared" si="3"/>
        <v>0</v>
      </c>
      <c r="M23" s="293" t="s">
        <v>309</v>
      </c>
      <c r="N23" s="320" t="e">
        <f t="shared" si="1"/>
        <v>#DIV/0!</v>
      </c>
      <c r="O23" s="320">
        <v>0</v>
      </c>
      <c r="P23" s="321" t="s">
        <v>141</v>
      </c>
      <c r="Q23" s="58">
        <v>2650</v>
      </c>
      <c r="R23" s="322" t="s">
        <v>329</v>
      </c>
      <c r="S23" s="290"/>
      <c r="T23" s="290"/>
      <c r="U23" s="290"/>
    </row>
    <row r="24" spans="1:21" s="28" customFormat="1" ht="89.1" customHeight="1">
      <c r="A24" s="53" t="s">
        <v>67</v>
      </c>
      <c r="B24" s="289">
        <v>43971</v>
      </c>
      <c r="C24" s="290" t="s">
        <v>330</v>
      </c>
      <c r="D24" s="54" t="s">
        <v>307</v>
      </c>
      <c r="E24" s="316" t="s">
        <v>331</v>
      </c>
      <c r="F24" s="317" t="s">
        <v>437</v>
      </c>
      <c r="G24" s="55">
        <f t="shared" ref="G24:G25" si="4">H24</f>
        <v>2353624.17</v>
      </c>
      <c r="H24" s="318">
        <v>2353624.17</v>
      </c>
      <c r="I24" s="55">
        <f t="shared" si="0"/>
        <v>0</v>
      </c>
      <c r="J24" s="55">
        <v>0</v>
      </c>
      <c r="K24" s="319">
        <f t="shared" si="2"/>
        <v>2353624.17</v>
      </c>
      <c r="L24" s="319">
        <f t="shared" si="3"/>
        <v>0</v>
      </c>
      <c r="M24" s="293" t="s">
        <v>309</v>
      </c>
      <c r="N24" s="320">
        <f t="shared" si="1"/>
        <v>0</v>
      </c>
      <c r="O24" s="320">
        <v>0</v>
      </c>
      <c r="P24" s="321" t="s">
        <v>141</v>
      </c>
      <c r="Q24" s="58">
        <v>3100</v>
      </c>
      <c r="R24" s="322" t="s">
        <v>329</v>
      </c>
      <c r="S24" s="290"/>
      <c r="T24" s="290"/>
      <c r="U24" s="290"/>
    </row>
    <row r="25" spans="1:21" s="28" customFormat="1" ht="89.1" customHeight="1">
      <c r="A25" s="53" t="s">
        <v>67</v>
      </c>
      <c r="B25" s="289">
        <v>43971</v>
      </c>
      <c r="C25" s="290" t="s">
        <v>332</v>
      </c>
      <c r="D25" s="54" t="s">
        <v>307</v>
      </c>
      <c r="E25" s="316" t="s">
        <v>333</v>
      </c>
      <c r="F25" s="317" t="s">
        <v>438</v>
      </c>
      <c r="G25" s="55">
        <f t="shared" si="4"/>
        <v>563689.34</v>
      </c>
      <c r="H25" s="318">
        <v>563689.34</v>
      </c>
      <c r="I25" s="55">
        <f>161809.01+178081.01</f>
        <v>339890.02</v>
      </c>
      <c r="J25" s="55">
        <v>0</v>
      </c>
      <c r="K25" s="319">
        <f t="shared" si="2"/>
        <v>223799.31999999995</v>
      </c>
      <c r="L25" s="319">
        <f t="shared" si="3"/>
        <v>339890.02</v>
      </c>
      <c r="M25" s="293" t="s">
        <v>309</v>
      </c>
      <c r="N25" s="320">
        <f t="shared" si="1"/>
        <v>0.60297400692374281</v>
      </c>
      <c r="O25" s="320">
        <v>1</v>
      </c>
      <c r="P25" s="321" t="s">
        <v>141</v>
      </c>
      <c r="Q25" s="58">
        <v>950</v>
      </c>
      <c r="R25" s="322" t="s">
        <v>334</v>
      </c>
      <c r="S25" s="290" t="s">
        <v>368</v>
      </c>
      <c r="T25" s="290" t="s">
        <v>369</v>
      </c>
      <c r="U25" s="290" t="s">
        <v>370</v>
      </c>
    </row>
    <row r="26" spans="1:21" s="28" customFormat="1" ht="89.1" customHeight="1">
      <c r="A26" s="53" t="s">
        <v>371</v>
      </c>
      <c r="B26" s="289">
        <v>44028</v>
      </c>
      <c r="C26" s="290" t="s">
        <v>439</v>
      </c>
      <c r="D26" s="54"/>
      <c r="E26" s="316" t="s">
        <v>440</v>
      </c>
      <c r="F26" s="317" t="s">
        <v>441</v>
      </c>
      <c r="G26" s="55">
        <v>5706000</v>
      </c>
      <c r="H26" s="318"/>
      <c r="I26" s="55">
        <f t="shared" ref="I26" si="5">J26</f>
        <v>0</v>
      </c>
      <c r="J26" s="55"/>
      <c r="K26" s="319">
        <f t="shared" si="2"/>
        <v>5706000</v>
      </c>
      <c r="L26" s="319"/>
      <c r="M26" s="293" t="s">
        <v>309</v>
      </c>
      <c r="N26" s="320">
        <f t="shared" si="1"/>
        <v>0</v>
      </c>
      <c r="O26" s="320">
        <v>0</v>
      </c>
      <c r="P26" s="321" t="s">
        <v>374</v>
      </c>
      <c r="Q26" s="58">
        <v>1</v>
      </c>
      <c r="R26" s="322" t="s">
        <v>442</v>
      </c>
      <c r="S26" s="290"/>
      <c r="T26" s="290"/>
      <c r="U26" s="290"/>
    </row>
    <row r="27" spans="1:21" s="28" customFormat="1" ht="89.1" customHeight="1">
      <c r="A27" s="53" t="s">
        <v>371</v>
      </c>
      <c r="B27" s="289">
        <v>44028</v>
      </c>
      <c r="C27" s="290" t="s">
        <v>443</v>
      </c>
      <c r="D27" s="54"/>
      <c r="E27" s="316" t="s">
        <v>444</v>
      </c>
      <c r="F27" s="317" t="s">
        <v>445</v>
      </c>
      <c r="G27" s="55">
        <v>5868000</v>
      </c>
      <c r="H27" s="318"/>
      <c r="I27" s="55">
        <v>2820107.06</v>
      </c>
      <c r="J27" s="55"/>
      <c r="K27" s="319">
        <f t="shared" si="2"/>
        <v>3047892.94</v>
      </c>
      <c r="L27" s="319"/>
      <c r="M27" s="293" t="s">
        <v>309</v>
      </c>
      <c r="N27" s="320">
        <f t="shared" si="1"/>
        <v>0.4805908418541241</v>
      </c>
      <c r="O27" s="320">
        <v>0</v>
      </c>
      <c r="P27" s="321" t="s">
        <v>374</v>
      </c>
      <c r="Q27" s="58">
        <v>1</v>
      </c>
      <c r="R27" s="322" t="s">
        <v>446</v>
      </c>
      <c r="S27" s="290" t="s">
        <v>786</v>
      </c>
      <c r="T27" s="290" t="s">
        <v>787</v>
      </c>
      <c r="U27" s="290" t="s">
        <v>788</v>
      </c>
    </row>
    <row r="28" spans="1:21" s="28" customFormat="1" ht="89.1" customHeight="1">
      <c r="A28" s="53" t="s">
        <v>371</v>
      </c>
      <c r="B28" s="289">
        <v>44028</v>
      </c>
      <c r="C28" s="290" t="s">
        <v>447</v>
      </c>
      <c r="D28" s="54"/>
      <c r="E28" s="316" t="s">
        <v>448</v>
      </c>
      <c r="F28" s="317" t="s">
        <v>449</v>
      </c>
      <c r="G28" s="55">
        <v>7150500</v>
      </c>
      <c r="H28" s="318"/>
      <c r="I28" s="55">
        <v>3405509.06</v>
      </c>
      <c r="J28" s="55"/>
      <c r="K28" s="319">
        <f t="shared" si="2"/>
        <v>3744990.94</v>
      </c>
      <c r="L28" s="319"/>
      <c r="M28" s="293" t="s">
        <v>309</v>
      </c>
      <c r="N28" s="320">
        <f t="shared" si="1"/>
        <v>0.47626166841479617</v>
      </c>
      <c r="O28" s="320">
        <v>7.0000000000000007E-2</v>
      </c>
      <c r="P28" s="321" t="s">
        <v>374</v>
      </c>
      <c r="Q28" s="58">
        <v>1</v>
      </c>
      <c r="R28" s="322" t="s">
        <v>446</v>
      </c>
      <c r="S28" s="290" t="s">
        <v>786</v>
      </c>
      <c r="T28" s="290" t="s">
        <v>789</v>
      </c>
      <c r="U28" s="290" t="s">
        <v>790</v>
      </c>
    </row>
    <row r="29" spans="1:21" s="28" customFormat="1" ht="89.1" customHeight="1">
      <c r="A29" s="53" t="s">
        <v>371</v>
      </c>
      <c r="B29" s="289">
        <v>44028</v>
      </c>
      <c r="C29" s="290" t="s">
        <v>450</v>
      </c>
      <c r="D29" s="54"/>
      <c r="E29" s="316" t="s">
        <v>451</v>
      </c>
      <c r="F29" s="317" t="s">
        <v>452</v>
      </c>
      <c r="G29" s="55">
        <v>6850000</v>
      </c>
      <c r="H29" s="318"/>
      <c r="I29" s="55">
        <v>3244819.84</v>
      </c>
      <c r="J29" s="55"/>
      <c r="K29" s="319">
        <f t="shared" si="2"/>
        <v>3605180.16</v>
      </c>
      <c r="L29" s="319"/>
      <c r="M29" s="293" t="s">
        <v>309</v>
      </c>
      <c r="N29" s="320">
        <f t="shared" si="1"/>
        <v>0.47369632700729924</v>
      </c>
      <c r="O29" s="320">
        <v>0.1</v>
      </c>
      <c r="P29" s="321" t="s">
        <v>374</v>
      </c>
      <c r="Q29" s="58">
        <v>1</v>
      </c>
      <c r="R29" s="322" t="s">
        <v>442</v>
      </c>
      <c r="S29" s="290" t="s">
        <v>786</v>
      </c>
      <c r="T29" s="290" t="s">
        <v>791</v>
      </c>
      <c r="U29" s="290" t="s">
        <v>792</v>
      </c>
    </row>
    <row r="30" spans="1:21" s="28" customFormat="1" ht="89.1" customHeight="1">
      <c r="A30" s="53" t="s">
        <v>371</v>
      </c>
      <c r="B30" s="289">
        <v>44028</v>
      </c>
      <c r="C30" s="290" t="s">
        <v>453</v>
      </c>
      <c r="D30" s="54"/>
      <c r="E30" s="316" t="s">
        <v>454</v>
      </c>
      <c r="F30" s="317" t="s">
        <v>455</v>
      </c>
      <c r="G30" s="55">
        <v>6765262.0199999996</v>
      </c>
      <c r="H30" s="318"/>
      <c r="I30" s="55">
        <v>2674443.37</v>
      </c>
      <c r="J30" s="55"/>
      <c r="K30" s="319">
        <f t="shared" si="2"/>
        <v>4090818.6499999994</v>
      </c>
      <c r="L30" s="319"/>
      <c r="M30" s="293" t="s">
        <v>309</v>
      </c>
      <c r="N30" s="320">
        <f t="shared" si="1"/>
        <v>0.39531999826371844</v>
      </c>
      <c r="O30" s="320">
        <v>0.08</v>
      </c>
      <c r="P30" s="321" t="s">
        <v>374</v>
      </c>
      <c r="Q30" s="58">
        <v>1</v>
      </c>
      <c r="R30" s="322" t="s">
        <v>442</v>
      </c>
      <c r="S30" s="290" t="s">
        <v>786</v>
      </c>
      <c r="T30" s="290" t="s">
        <v>793</v>
      </c>
      <c r="U30" s="290" t="s">
        <v>794</v>
      </c>
    </row>
    <row r="31" spans="1:21" s="28" customFormat="1" ht="89.1" customHeight="1">
      <c r="A31" s="53" t="s">
        <v>371</v>
      </c>
      <c r="B31" s="289">
        <v>44028</v>
      </c>
      <c r="C31" s="290" t="s">
        <v>456</v>
      </c>
      <c r="D31" s="54"/>
      <c r="E31" s="316" t="s">
        <v>457</v>
      </c>
      <c r="F31" s="317" t="s">
        <v>458</v>
      </c>
      <c r="G31" s="55">
        <v>5120500</v>
      </c>
      <c r="H31" s="318"/>
      <c r="I31" s="55">
        <v>2551177.14</v>
      </c>
      <c r="J31" s="55"/>
      <c r="K31" s="319">
        <f t="shared" si="2"/>
        <v>2569322.86</v>
      </c>
      <c r="L31" s="319"/>
      <c r="M31" s="293" t="s">
        <v>309</v>
      </c>
      <c r="N31" s="320">
        <f t="shared" si="1"/>
        <v>0.49822813006542332</v>
      </c>
      <c r="O31" s="320">
        <v>0.15</v>
      </c>
      <c r="P31" s="321" t="s">
        <v>374</v>
      </c>
      <c r="Q31" s="58">
        <v>1</v>
      </c>
      <c r="R31" s="322" t="s">
        <v>378</v>
      </c>
      <c r="S31" s="290" t="s">
        <v>786</v>
      </c>
      <c r="T31" s="290" t="s">
        <v>795</v>
      </c>
      <c r="U31" s="290" t="s">
        <v>796</v>
      </c>
    </row>
    <row r="32" spans="1:21" s="28" customFormat="1" ht="89.1" customHeight="1">
      <c r="A32" s="53" t="s">
        <v>371</v>
      </c>
      <c r="B32" s="289">
        <v>44004</v>
      </c>
      <c r="C32" s="290" t="s">
        <v>372</v>
      </c>
      <c r="D32" s="54"/>
      <c r="E32" s="316" t="s">
        <v>373</v>
      </c>
      <c r="F32" s="317" t="s">
        <v>797</v>
      </c>
      <c r="G32" s="55">
        <v>0</v>
      </c>
      <c r="H32" s="318"/>
      <c r="I32" s="55">
        <f t="shared" ref="I32:I36" si="6">J32</f>
        <v>0</v>
      </c>
      <c r="J32" s="55"/>
      <c r="K32" s="319">
        <f t="shared" si="2"/>
        <v>0</v>
      </c>
      <c r="L32" s="319"/>
      <c r="M32" s="293" t="s">
        <v>309</v>
      </c>
      <c r="N32" s="320" t="e">
        <f t="shared" si="1"/>
        <v>#DIV/0!</v>
      </c>
      <c r="O32" s="320">
        <v>0</v>
      </c>
      <c r="P32" s="321" t="s">
        <v>374</v>
      </c>
      <c r="Q32" s="58">
        <v>1</v>
      </c>
      <c r="R32" s="322" t="s">
        <v>375</v>
      </c>
      <c r="S32" s="290"/>
      <c r="T32" s="290"/>
      <c r="U32" s="290"/>
    </row>
    <row r="33" spans="1:21" s="28" customFormat="1" ht="89.1" customHeight="1">
      <c r="A33" s="53" t="s">
        <v>371</v>
      </c>
      <c r="B33" s="289">
        <v>117052</v>
      </c>
      <c r="C33" s="290" t="s">
        <v>376</v>
      </c>
      <c r="D33" s="54" t="s">
        <v>307</v>
      </c>
      <c r="E33" s="316" t="s">
        <v>377</v>
      </c>
      <c r="F33" s="317" t="s">
        <v>798</v>
      </c>
      <c r="G33" s="55">
        <v>0</v>
      </c>
      <c r="H33" s="318">
        <v>563689.34</v>
      </c>
      <c r="I33" s="55">
        <f t="shared" si="6"/>
        <v>0</v>
      </c>
      <c r="J33" s="55">
        <v>0</v>
      </c>
      <c r="K33" s="319">
        <f t="shared" si="2"/>
        <v>0</v>
      </c>
      <c r="L33" s="319">
        <f t="shared" ref="L33:L125" si="7">I33</f>
        <v>0</v>
      </c>
      <c r="M33" s="293" t="s">
        <v>309</v>
      </c>
      <c r="N33" s="320" t="e">
        <f t="shared" si="1"/>
        <v>#DIV/0!</v>
      </c>
      <c r="O33" s="320">
        <v>0</v>
      </c>
      <c r="P33" s="321" t="s">
        <v>374</v>
      </c>
      <c r="Q33" s="58">
        <v>1</v>
      </c>
      <c r="R33" s="322" t="s">
        <v>378</v>
      </c>
      <c r="S33" s="290"/>
      <c r="T33" s="290"/>
      <c r="U33" s="290"/>
    </row>
    <row r="34" spans="1:21" s="28" customFormat="1" ht="89.1" customHeight="1">
      <c r="A34" s="53" t="s">
        <v>371</v>
      </c>
      <c r="B34" s="289">
        <v>44028</v>
      </c>
      <c r="C34" s="290" t="s">
        <v>459</v>
      </c>
      <c r="D34" s="54"/>
      <c r="E34" s="316" t="s">
        <v>460</v>
      </c>
      <c r="F34" s="317" t="s">
        <v>461</v>
      </c>
      <c r="G34" s="55">
        <v>6767464.6399999997</v>
      </c>
      <c r="H34" s="318"/>
      <c r="I34" s="55">
        <f t="shared" si="6"/>
        <v>0</v>
      </c>
      <c r="J34" s="55"/>
      <c r="K34" s="319">
        <f t="shared" si="2"/>
        <v>6767464.6399999997</v>
      </c>
      <c r="L34" s="319"/>
      <c r="M34" s="293" t="s">
        <v>309</v>
      </c>
      <c r="N34" s="320">
        <f t="shared" si="1"/>
        <v>0</v>
      </c>
      <c r="O34" s="320">
        <v>0</v>
      </c>
      <c r="P34" s="321" t="s">
        <v>374</v>
      </c>
      <c r="Q34" s="58">
        <v>1</v>
      </c>
      <c r="R34" s="322" t="s">
        <v>378</v>
      </c>
      <c r="S34" s="290"/>
      <c r="T34" s="290"/>
      <c r="U34" s="290"/>
    </row>
    <row r="35" spans="1:21" s="28" customFormat="1" ht="89.1" customHeight="1">
      <c r="A35" s="53" t="s">
        <v>371</v>
      </c>
      <c r="B35" s="289">
        <v>44028</v>
      </c>
      <c r="C35" s="290" t="s">
        <v>462</v>
      </c>
      <c r="D35" s="54"/>
      <c r="E35" s="316" t="s">
        <v>463</v>
      </c>
      <c r="F35" s="317" t="s">
        <v>464</v>
      </c>
      <c r="G35" s="55">
        <v>4994000</v>
      </c>
      <c r="H35" s="318"/>
      <c r="I35" s="55">
        <f t="shared" si="6"/>
        <v>0</v>
      </c>
      <c r="J35" s="55"/>
      <c r="K35" s="319">
        <f t="shared" si="2"/>
        <v>4994000</v>
      </c>
      <c r="L35" s="319"/>
      <c r="M35" s="293" t="s">
        <v>309</v>
      </c>
      <c r="N35" s="320">
        <f t="shared" si="1"/>
        <v>0</v>
      </c>
      <c r="O35" s="320">
        <v>0</v>
      </c>
      <c r="P35" s="321" t="s">
        <v>374</v>
      </c>
      <c r="Q35" s="58">
        <v>1</v>
      </c>
      <c r="R35" s="322" t="s">
        <v>375</v>
      </c>
      <c r="S35" s="290"/>
      <c r="T35" s="290"/>
      <c r="U35" s="290"/>
    </row>
    <row r="36" spans="1:21" s="28" customFormat="1" ht="89.1" customHeight="1">
      <c r="A36" s="53" t="s">
        <v>371</v>
      </c>
      <c r="B36" s="289">
        <v>44048</v>
      </c>
      <c r="C36" s="290" t="s">
        <v>488</v>
      </c>
      <c r="D36" s="54"/>
      <c r="E36" s="316" t="s">
        <v>489</v>
      </c>
      <c r="F36" s="317" t="s">
        <v>490</v>
      </c>
      <c r="G36" s="55">
        <v>190000</v>
      </c>
      <c r="H36" s="318"/>
      <c r="I36" s="55">
        <f t="shared" si="6"/>
        <v>0</v>
      </c>
      <c r="J36" s="55"/>
      <c r="K36" s="319">
        <f t="shared" si="2"/>
        <v>190000</v>
      </c>
      <c r="L36" s="319"/>
      <c r="M36" s="293" t="s">
        <v>309</v>
      </c>
      <c r="N36" s="320">
        <f t="shared" si="1"/>
        <v>0</v>
      </c>
      <c r="O36" s="320">
        <v>0</v>
      </c>
      <c r="P36" s="321" t="s">
        <v>491</v>
      </c>
      <c r="Q36" s="58">
        <v>18</v>
      </c>
      <c r="R36" s="322" t="s">
        <v>492</v>
      </c>
      <c r="S36" s="290"/>
      <c r="T36" s="290"/>
      <c r="U36" s="290"/>
    </row>
    <row r="37" spans="1:21" s="28" customFormat="1" ht="89.1" customHeight="1">
      <c r="A37" s="53" t="s">
        <v>67</v>
      </c>
      <c r="B37" s="289">
        <v>44055</v>
      </c>
      <c r="C37" s="290" t="s">
        <v>493</v>
      </c>
      <c r="D37" s="54"/>
      <c r="E37" s="316" t="s">
        <v>494</v>
      </c>
      <c r="F37" s="317" t="s">
        <v>495</v>
      </c>
      <c r="G37" s="55">
        <v>14723179.73</v>
      </c>
      <c r="H37" s="318"/>
      <c r="I37" s="55">
        <v>4314419.8499999996</v>
      </c>
      <c r="J37" s="55"/>
      <c r="K37" s="319">
        <f t="shared" si="2"/>
        <v>10408759.880000001</v>
      </c>
      <c r="L37" s="319"/>
      <c r="M37" s="293" t="s">
        <v>309</v>
      </c>
      <c r="N37" s="320">
        <f t="shared" si="1"/>
        <v>0.29303587466292513</v>
      </c>
      <c r="O37" s="320">
        <v>7.0000000000000007E-2</v>
      </c>
      <c r="P37" s="321" t="s">
        <v>141</v>
      </c>
      <c r="Q37" s="58">
        <v>5240.58</v>
      </c>
      <c r="R37" s="322" t="s">
        <v>329</v>
      </c>
      <c r="S37" s="290" t="s">
        <v>786</v>
      </c>
      <c r="T37" s="290" t="s">
        <v>799</v>
      </c>
      <c r="U37" s="290" t="s">
        <v>800</v>
      </c>
    </row>
    <row r="38" spans="1:21" s="28" customFormat="1" ht="89.1" customHeight="1">
      <c r="A38" s="53" t="s">
        <v>67</v>
      </c>
      <c r="B38" s="289">
        <v>44055</v>
      </c>
      <c r="C38" s="290" t="s">
        <v>496</v>
      </c>
      <c r="D38" s="54"/>
      <c r="E38" s="316" t="s">
        <v>497</v>
      </c>
      <c r="F38" s="317" t="s">
        <v>498</v>
      </c>
      <c r="G38" s="55">
        <v>12890838.16</v>
      </c>
      <c r="H38" s="318"/>
      <c r="I38" s="55">
        <v>3740057.23</v>
      </c>
      <c r="J38" s="55"/>
      <c r="K38" s="319">
        <f t="shared" si="2"/>
        <v>9150780.9299999997</v>
      </c>
      <c r="L38" s="319"/>
      <c r="M38" s="293" t="s">
        <v>309</v>
      </c>
      <c r="N38" s="320">
        <f t="shared" si="1"/>
        <v>0.29013297534099208</v>
      </c>
      <c r="O38" s="320">
        <v>0.1</v>
      </c>
      <c r="P38" s="321" t="s">
        <v>141</v>
      </c>
      <c r="Q38" s="58">
        <v>4936.42</v>
      </c>
      <c r="R38" s="322" t="s">
        <v>329</v>
      </c>
      <c r="S38" s="290" t="s">
        <v>786</v>
      </c>
      <c r="T38" s="290" t="s">
        <v>799</v>
      </c>
      <c r="U38" s="290" t="s">
        <v>801</v>
      </c>
    </row>
    <row r="39" spans="1:21" s="28" customFormat="1" ht="89.1" customHeight="1">
      <c r="A39" s="53" t="s">
        <v>67</v>
      </c>
      <c r="B39" s="289">
        <v>44055</v>
      </c>
      <c r="C39" s="290" t="s">
        <v>499</v>
      </c>
      <c r="D39" s="54"/>
      <c r="E39" s="316" t="s">
        <v>500</v>
      </c>
      <c r="F39" s="317" t="s">
        <v>501</v>
      </c>
      <c r="G39" s="55">
        <v>5451018.7999999998</v>
      </c>
      <c r="H39" s="318"/>
      <c r="I39" s="55">
        <f t="shared" ref="I39:I42" si="8">J39</f>
        <v>0</v>
      </c>
      <c r="J39" s="55"/>
      <c r="K39" s="319">
        <f t="shared" si="2"/>
        <v>5451018.7999999998</v>
      </c>
      <c r="L39" s="319"/>
      <c r="M39" s="293" t="s">
        <v>309</v>
      </c>
      <c r="N39" s="320">
        <f t="shared" si="1"/>
        <v>0</v>
      </c>
      <c r="O39" s="320">
        <v>0</v>
      </c>
      <c r="P39" s="321" t="s">
        <v>141</v>
      </c>
      <c r="Q39" s="58">
        <v>7325.52</v>
      </c>
      <c r="R39" s="322" t="s">
        <v>329</v>
      </c>
      <c r="S39" s="290"/>
      <c r="T39" s="290"/>
      <c r="U39" s="290"/>
    </row>
    <row r="40" spans="1:21" s="28" customFormat="1" ht="89.1" customHeight="1">
      <c r="A40" s="53" t="s">
        <v>67</v>
      </c>
      <c r="B40" s="289">
        <v>44055</v>
      </c>
      <c r="C40" s="290" t="s">
        <v>502</v>
      </c>
      <c r="D40" s="54"/>
      <c r="E40" s="316" t="s">
        <v>503</v>
      </c>
      <c r="F40" s="317" t="s">
        <v>504</v>
      </c>
      <c r="G40" s="55">
        <v>5551671.5999999996</v>
      </c>
      <c r="H40" s="318"/>
      <c r="I40" s="55">
        <f t="shared" si="8"/>
        <v>0</v>
      </c>
      <c r="J40" s="55"/>
      <c r="K40" s="319">
        <f t="shared" si="2"/>
        <v>5551671.5999999996</v>
      </c>
      <c r="L40" s="319"/>
      <c r="M40" s="293" t="s">
        <v>309</v>
      </c>
      <c r="N40" s="320">
        <f t="shared" si="1"/>
        <v>0</v>
      </c>
      <c r="O40" s="320">
        <v>0</v>
      </c>
      <c r="P40" s="321" t="s">
        <v>141</v>
      </c>
      <c r="Q40" s="58">
        <v>7593.93</v>
      </c>
      <c r="R40" s="322" t="s">
        <v>329</v>
      </c>
      <c r="S40" s="290"/>
      <c r="T40" s="290"/>
      <c r="U40" s="290"/>
    </row>
    <row r="41" spans="1:21" s="28" customFormat="1" ht="89.1" customHeight="1">
      <c r="A41" s="53" t="s">
        <v>67</v>
      </c>
      <c r="B41" s="289">
        <v>44055</v>
      </c>
      <c r="C41" s="290" t="s">
        <v>505</v>
      </c>
      <c r="D41" s="54"/>
      <c r="E41" s="316" t="s">
        <v>506</v>
      </c>
      <c r="F41" s="317" t="s">
        <v>507</v>
      </c>
      <c r="G41" s="55">
        <v>2900547.23</v>
      </c>
      <c r="H41" s="318"/>
      <c r="I41" s="55">
        <f t="shared" si="8"/>
        <v>0</v>
      </c>
      <c r="J41" s="55"/>
      <c r="K41" s="319">
        <f t="shared" si="2"/>
        <v>2900547.23</v>
      </c>
      <c r="L41" s="319"/>
      <c r="M41" s="293" t="s">
        <v>309</v>
      </c>
      <c r="N41" s="320">
        <f t="shared" si="1"/>
        <v>0</v>
      </c>
      <c r="O41" s="320">
        <v>0</v>
      </c>
      <c r="P41" s="321" t="s">
        <v>141</v>
      </c>
      <c r="Q41" s="58">
        <v>5746.19</v>
      </c>
      <c r="R41" s="322" t="s">
        <v>329</v>
      </c>
      <c r="S41" s="290"/>
      <c r="T41" s="290"/>
      <c r="U41" s="290"/>
    </row>
    <row r="42" spans="1:21" s="28" customFormat="1" ht="89.1" customHeight="1">
      <c r="A42" s="53" t="s">
        <v>67</v>
      </c>
      <c r="B42" s="289">
        <v>44055</v>
      </c>
      <c r="C42" s="290" t="s">
        <v>508</v>
      </c>
      <c r="D42" s="54"/>
      <c r="E42" s="316" t="s">
        <v>509</v>
      </c>
      <c r="F42" s="317" t="s">
        <v>802</v>
      </c>
      <c r="G42" s="55">
        <v>0</v>
      </c>
      <c r="H42" s="318"/>
      <c r="I42" s="55">
        <f t="shared" si="8"/>
        <v>0</v>
      </c>
      <c r="J42" s="55"/>
      <c r="K42" s="319">
        <f t="shared" si="2"/>
        <v>0</v>
      </c>
      <c r="L42" s="319"/>
      <c r="M42" s="293" t="s">
        <v>309</v>
      </c>
      <c r="N42" s="320" t="e">
        <f t="shared" si="1"/>
        <v>#DIV/0!</v>
      </c>
      <c r="O42" s="320">
        <v>0</v>
      </c>
      <c r="P42" s="321" t="s">
        <v>141</v>
      </c>
      <c r="Q42" s="58">
        <v>1142.95</v>
      </c>
      <c r="R42" s="322" t="s">
        <v>329</v>
      </c>
      <c r="S42" s="290"/>
      <c r="T42" s="290"/>
      <c r="U42" s="290"/>
    </row>
    <row r="43" spans="1:21" s="28" customFormat="1" ht="89.1" customHeight="1">
      <c r="A43" s="53" t="s">
        <v>67</v>
      </c>
      <c r="B43" s="289">
        <v>44055</v>
      </c>
      <c r="C43" s="290" t="s">
        <v>510</v>
      </c>
      <c r="D43" s="54"/>
      <c r="E43" s="316" t="s">
        <v>511</v>
      </c>
      <c r="F43" s="317" t="s">
        <v>512</v>
      </c>
      <c r="G43" s="55">
        <v>607217.86</v>
      </c>
      <c r="H43" s="318"/>
      <c r="I43" s="55">
        <v>179322.89</v>
      </c>
      <c r="J43" s="55"/>
      <c r="K43" s="319">
        <f t="shared" si="2"/>
        <v>427894.97</v>
      </c>
      <c r="L43" s="319"/>
      <c r="M43" s="293" t="s">
        <v>309</v>
      </c>
      <c r="N43" s="320">
        <f t="shared" si="1"/>
        <v>0.29531886627972376</v>
      </c>
      <c r="O43" s="320">
        <v>0.05</v>
      </c>
      <c r="P43" s="321" t="s">
        <v>141</v>
      </c>
      <c r="Q43" s="58">
        <v>355.93</v>
      </c>
      <c r="R43" s="322" t="s">
        <v>513</v>
      </c>
      <c r="S43" s="290" t="s">
        <v>368</v>
      </c>
      <c r="T43" s="290" t="s">
        <v>803</v>
      </c>
      <c r="U43" s="290" t="s">
        <v>804</v>
      </c>
    </row>
    <row r="44" spans="1:21" s="28" customFormat="1" ht="89.1" customHeight="1">
      <c r="A44" s="53" t="s">
        <v>67</v>
      </c>
      <c r="B44" s="289">
        <v>44055</v>
      </c>
      <c r="C44" s="290" t="s">
        <v>514</v>
      </c>
      <c r="D44" s="54"/>
      <c r="E44" s="316" t="s">
        <v>515</v>
      </c>
      <c r="F44" s="317" t="s">
        <v>516</v>
      </c>
      <c r="G44" s="55">
        <v>2255486.7599999998</v>
      </c>
      <c r="H44" s="318"/>
      <c r="I44" s="55">
        <f t="shared" ref="I44:I46" si="9">J44</f>
        <v>0</v>
      </c>
      <c r="J44" s="55"/>
      <c r="K44" s="319">
        <f t="shared" si="2"/>
        <v>2255486.7599999998</v>
      </c>
      <c r="L44" s="319"/>
      <c r="M44" s="293" t="s">
        <v>309</v>
      </c>
      <c r="N44" s="320">
        <f t="shared" si="1"/>
        <v>0</v>
      </c>
      <c r="O44" s="320">
        <v>0</v>
      </c>
      <c r="P44" s="321" t="s">
        <v>141</v>
      </c>
      <c r="Q44" s="58">
        <v>814.07</v>
      </c>
      <c r="R44" s="322" t="s">
        <v>517</v>
      </c>
      <c r="S44" s="290"/>
      <c r="T44" s="290"/>
      <c r="U44" s="290"/>
    </row>
    <row r="45" spans="1:21" s="28" customFormat="1" ht="89.1" customHeight="1">
      <c r="A45" s="53" t="s">
        <v>67</v>
      </c>
      <c r="B45" s="289">
        <v>44055</v>
      </c>
      <c r="C45" s="290" t="s">
        <v>518</v>
      </c>
      <c r="D45" s="54"/>
      <c r="E45" s="316" t="s">
        <v>519</v>
      </c>
      <c r="F45" s="317" t="s">
        <v>520</v>
      </c>
      <c r="G45" s="55">
        <v>2499881.5099999998</v>
      </c>
      <c r="H45" s="318"/>
      <c r="I45" s="55">
        <f t="shared" si="9"/>
        <v>0</v>
      </c>
      <c r="J45" s="55"/>
      <c r="K45" s="319">
        <f t="shared" si="2"/>
        <v>2499881.5099999998</v>
      </c>
      <c r="L45" s="319"/>
      <c r="M45" s="293" t="s">
        <v>309</v>
      </c>
      <c r="N45" s="320">
        <f t="shared" si="1"/>
        <v>0</v>
      </c>
      <c r="O45" s="320">
        <v>0</v>
      </c>
      <c r="P45" s="321" t="s">
        <v>141</v>
      </c>
      <c r="Q45" s="58">
        <v>4475.8999999999996</v>
      </c>
      <c r="R45" s="322" t="s">
        <v>329</v>
      </c>
      <c r="S45" s="290"/>
      <c r="T45" s="290"/>
      <c r="U45" s="290"/>
    </row>
    <row r="46" spans="1:21" s="28" customFormat="1" ht="89.1" customHeight="1">
      <c r="A46" s="53" t="s">
        <v>67</v>
      </c>
      <c r="B46" s="289">
        <v>44055</v>
      </c>
      <c r="C46" s="290" t="s">
        <v>521</v>
      </c>
      <c r="D46" s="54"/>
      <c r="E46" s="316" t="s">
        <v>522</v>
      </c>
      <c r="F46" s="317" t="s">
        <v>523</v>
      </c>
      <c r="G46" s="55">
        <v>1357057.55</v>
      </c>
      <c r="H46" s="318"/>
      <c r="I46" s="55">
        <f t="shared" si="9"/>
        <v>0</v>
      </c>
      <c r="J46" s="55"/>
      <c r="K46" s="319">
        <f t="shared" si="2"/>
        <v>1357057.55</v>
      </c>
      <c r="L46" s="319"/>
      <c r="M46" s="293" t="s">
        <v>309</v>
      </c>
      <c r="N46" s="320">
        <f t="shared" si="1"/>
        <v>0</v>
      </c>
      <c r="O46" s="320">
        <v>0</v>
      </c>
      <c r="P46" s="321" t="s">
        <v>141</v>
      </c>
      <c r="Q46" s="58">
        <v>1782.7</v>
      </c>
      <c r="R46" s="322" t="s">
        <v>517</v>
      </c>
      <c r="S46" s="290"/>
      <c r="T46" s="290"/>
      <c r="U46" s="290"/>
    </row>
    <row r="47" spans="1:21" s="28" customFormat="1" ht="89.1" customHeight="1">
      <c r="A47" s="53" t="s">
        <v>67</v>
      </c>
      <c r="B47" s="289">
        <v>44055</v>
      </c>
      <c r="C47" s="290" t="s">
        <v>524</v>
      </c>
      <c r="D47" s="54"/>
      <c r="E47" s="316" t="s">
        <v>525</v>
      </c>
      <c r="F47" s="317" t="s">
        <v>526</v>
      </c>
      <c r="G47" s="55">
        <v>3367229.67</v>
      </c>
      <c r="H47" s="318"/>
      <c r="I47" s="55">
        <v>780479.93</v>
      </c>
      <c r="J47" s="55"/>
      <c r="K47" s="319">
        <f t="shared" si="2"/>
        <v>2586749.7399999998</v>
      </c>
      <c r="L47" s="319"/>
      <c r="M47" s="293" t="s">
        <v>309</v>
      </c>
      <c r="N47" s="320">
        <f t="shared" si="1"/>
        <v>0.23178696034713903</v>
      </c>
      <c r="O47" s="320">
        <v>0.01</v>
      </c>
      <c r="P47" s="321" t="s">
        <v>141</v>
      </c>
      <c r="Q47" s="58">
        <v>4696.8500000000004</v>
      </c>
      <c r="R47" s="322" t="s">
        <v>329</v>
      </c>
      <c r="S47" s="290" t="s">
        <v>786</v>
      </c>
      <c r="T47" s="290" t="s">
        <v>805</v>
      </c>
      <c r="U47" s="290" t="s">
        <v>806</v>
      </c>
    </row>
    <row r="48" spans="1:21" s="28" customFormat="1" ht="89.1" customHeight="1">
      <c r="A48" s="53" t="s">
        <v>67</v>
      </c>
      <c r="B48" s="289">
        <v>44055</v>
      </c>
      <c r="C48" s="290" t="s">
        <v>527</v>
      </c>
      <c r="D48" s="54"/>
      <c r="E48" s="316" t="s">
        <v>528</v>
      </c>
      <c r="F48" s="317" t="s">
        <v>529</v>
      </c>
      <c r="G48" s="55">
        <v>3228721.89</v>
      </c>
      <c r="H48" s="318"/>
      <c r="I48" s="55">
        <f t="shared" ref="I48:I51" si="10">J48</f>
        <v>0</v>
      </c>
      <c r="J48" s="55"/>
      <c r="K48" s="319">
        <f t="shared" si="2"/>
        <v>3228721.89</v>
      </c>
      <c r="L48" s="319"/>
      <c r="M48" s="293" t="s">
        <v>309</v>
      </c>
      <c r="N48" s="320">
        <f t="shared" si="1"/>
        <v>0</v>
      </c>
      <c r="O48" s="320">
        <v>0</v>
      </c>
      <c r="P48" s="321" t="s">
        <v>141</v>
      </c>
      <c r="Q48" s="58">
        <v>4507.4799999999996</v>
      </c>
      <c r="R48" s="322" t="s">
        <v>329</v>
      </c>
      <c r="S48" s="290"/>
      <c r="T48" s="290"/>
      <c r="U48" s="290"/>
    </row>
    <row r="49" spans="1:21" s="28" customFormat="1" ht="89.1" customHeight="1">
      <c r="A49" s="53" t="s">
        <v>67</v>
      </c>
      <c r="B49" s="289">
        <v>44055</v>
      </c>
      <c r="C49" s="290" t="s">
        <v>530</v>
      </c>
      <c r="D49" s="54"/>
      <c r="E49" s="316" t="s">
        <v>531</v>
      </c>
      <c r="F49" s="317" t="s">
        <v>532</v>
      </c>
      <c r="G49" s="55">
        <v>4826360.57</v>
      </c>
      <c r="H49" s="318"/>
      <c r="I49" s="55">
        <f t="shared" si="10"/>
        <v>0</v>
      </c>
      <c r="J49" s="55"/>
      <c r="K49" s="319">
        <f t="shared" si="2"/>
        <v>4826360.57</v>
      </c>
      <c r="L49" s="319"/>
      <c r="M49" s="293" t="s">
        <v>309</v>
      </c>
      <c r="N49" s="320">
        <f t="shared" si="1"/>
        <v>0</v>
      </c>
      <c r="O49" s="320">
        <v>0</v>
      </c>
      <c r="P49" s="321" t="s">
        <v>141</v>
      </c>
      <c r="Q49" s="58">
        <v>7471.07</v>
      </c>
      <c r="R49" s="322" t="s">
        <v>329</v>
      </c>
      <c r="S49" s="290"/>
      <c r="T49" s="290"/>
      <c r="U49" s="290"/>
    </row>
    <row r="50" spans="1:21" s="28" customFormat="1" ht="89.1" customHeight="1">
      <c r="A50" s="53" t="s">
        <v>67</v>
      </c>
      <c r="B50" s="289">
        <v>44056</v>
      </c>
      <c r="C50" s="290" t="s">
        <v>533</v>
      </c>
      <c r="D50" s="54"/>
      <c r="E50" s="316" t="s">
        <v>534</v>
      </c>
      <c r="F50" s="317" t="s">
        <v>535</v>
      </c>
      <c r="G50" s="55">
        <v>4494255.09</v>
      </c>
      <c r="H50" s="318"/>
      <c r="I50" s="55">
        <f t="shared" si="10"/>
        <v>0</v>
      </c>
      <c r="J50" s="55"/>
      <c r="K50" s="319">
        <f t="shared" si="2"/>
        <v>4494255.09</v>
      </c>
      <c r="L50" s="319"/>
      <c r="M50" s="293" t="s">
        <v>309</v>
      </c>
      <c r="N50" s="320">
        <f t="shared" si="1"/>
        <v>0</v>
      </c>
      <c r="O50" s="320">
        <v>0</v>
      </c>
      <c r="P50" s="321" t="s">
        <v>141</v>
      </c>
      <c r="Q50" s="58">
        <v>7201.43</v>
      </c>
      <c r="R50" s="322" t="s">
        <v>329</v>
      </c>
      <c r="S50" s="290"/>
      <c r="T50" s="290"/>
      <c r="U50" s="290"/>
    </row>
    <row r="51" spans="1:21" s="28" customFormat="1" ht="89.1" customHeight="1">
      <c r="A51" s="53" t="s">
        <v>67</v>
      </c>
      <c r="B51" s="289">
        <v>44056</v>
      </c>
      <c r="C51" s="290" t="s">
        <v>536</v>
      </c>
      <c r="D51" s="54"/>
      <c r="E51" s="316" t="s">
        <v>537</v>
      </c>
      <c r="F51" s="317" t="s">
        <v>538</v>
      </c>
      <c r="G51" s="55">
        <v>1749537.14</v>
      </c>
      <c r="H51" s="318"/>
      <c r="I51" s="55">
        <f t="shared" si="10"/>
        <v>0</v>
      </c>
      <c r="J51" s="55"/>
      <c r="K51" s="319">
        <f t="shared" si="2"/>
        <v>1749537.14</v>
      </c>
      <c r="L51" s="319"/>
      <c r="M51" s="293" t="s">
        <v>309</v>
      </c>
      <c r="N51" s="320">
        <f t="shared" si="1"/>
        <v>0</v>
      </c>
      <c r="O51" s="320">
        <v>0</v>
      </c>
      <c r="P51" s="321" t="s">
        <v>141</v>
      </c>
      <c r="Q51" s="58">
        <v>5806.5</v>
      </c>
      <c r="R51" s="322" t="s">
        <v>329</v>
      </c>
      <c r="S51" s="290"/>
      <c r="T51" s="290"/>
      <c r="U51" s="290"/>
    </row>
    <row r="52" spans="1:21" s="28" customFormat="1" ht="89.1" customHeight="1">
      <c r="A52" s="53" t="s">
        <v>67</v>
      </c>
      <c r="B52" s="289">
        <v>44056</v>
      </c>
      <c r="C52" s="290" t="s">
        <v>539</v>
      </c>
      <c r="D52" s="54"/>
      <c r="E52" s="316" t="s">
        <v>540</v>
      </c>
      <c r="F52" s="317" t="s">
        <v>541</v>
      </c>
      <c r="G52" s="55">
        <v>3303703.39</v>
      </c>
      <c r="H52" s="318"/>
      <c r="I52" s="55">
        <v>658807.28</v>
      </c>
      <c r="J52" s="55"/>
      <c r="K52" s="319">
        <f t="shared" si="2"/>
        <v>2644896.1100000003</v>
      </c>
      <c r="L52" s="319"/>
      <c r="M52" s="293" t="s">
        <v>309</v>
      </c>
      <c r="N52" s="320">
        <f t="shared" si="1"/>
        <v>0.19941477857671722</v>
      </c>
      <c r="O52" s="320">
        <v>0</v>
      </c>
      <c r="P52" s="321" t="s">
        <v>141</v>
      </c>
      <c r="Q52" s="58">
        <v>9941.0400000000009</v>
      </c>
      <c r="R52" s="322" t="s">
        <v>329</v>
      </c>
      <c r="S52" s="290" t="s">
        <v>786</v>
      </c>
      <c r="T52" s="290" t="s">
        <v>799</v>
      </c>
      <c r="U52" s="290" t="s">
        <v>807</v>
      </c>
    </row>
    <row r="53" spans="1:21" s="28" customFormat="1" ht="89.1" customHeight="1">
      <c r="A53" s="53" t="s">
        <v>67</v>
      </c>
      <c r="B53" s="289">
        <v>44056</v>
      </c>
      <c r="C53" s="290" t="s">
        <v>542</v>
      </c>
      <c r="D53" s="54"/>
      <c r="E53" s="316" t="s">
        <v>543</v>
      </c>
      <c r="F53" s="317" t="s">
        <v>544</v>
      </c>
      <c r="G53" s="55">
        <v>617955.11</v>
      </c>
      <c r="H53" s="318"/>
      <c r="I53" s="55">
        <v>184564.13</v>
      </c>
      <c r="J53" s="55"/>
      <c r="K53" s="319">
        <f t="shared" si="2"/>
        <v>433390.98</v>
      </c>
      <c r="L53" s="319"/>
      <c r="M53" s="293" t="s">
        <v>309</v>
      </c>
      <c r="N53" s="320">
        <f t="shared" si="1"/>
        <v>0.29866915413969147</v>
      </c>
      <c r="O53" s="320">
        <v>0.13</v>
      </c>
      <c r="P53" s="321" t="s">
        <v>545</v>
      </c>
      <c r="Q53" s="58">
        <v>1</v>
      </c>
      <c r="R53" s="322" t="s">
        <v>546</v>
      </c>
      <c r="S53" s="290" t="s">
        <v>368</v>
      </c>
      <c r="T53" s="290" t="s">
        <v>808</v>
      </c>
      <c r="U53" s="290" t="s">
        <v>809</v>
      </c>
    </row>
    <row r="54" spans="1:21" s="28" customFormat="1" ht="89.1" customHeight="1">
      <c r="A54" s="53" t="s">
        <v>67</v>
      </c>
      <c r="B54" s="289">
        <v>44056</v>
      </c>
      <c r="C54" s="290" t="s">
        <v>547</v>
      </c>
      <c r="D54" s="54"/>
      <c r="E54" s="316" t="s">
        <v>548</v>
      </c>
      <c r="F54" s="317" t="s">
        <v>549</v>
      </c>
      <c r="G54" s="55">
        <v>698823.76</v>
      </c>
      <c r="H54" s="318"/>
      <c r="I54" s="55">
        <v>206978.16</v>
      </c>
      <c r="J54" s="55"/>
      <c r="K54" s="319">
        <f t="shared" si="2"/>
        <v>491845.6</v>
      </c>
      <c r="L54" s="319"/>
      <c r="M54" s="293" t="s">
        <v>309</v>
      </c>
      <c r="N54" s="320">
        <f t="shared" si="1"/>
        <v>0.2961807709571867</v>
      </c>
      <c r="O54" s="320">
        <v>0.12</v>
      </c>
      <c r="P54" s="321" t="s">
        <v>545</v>
      </c>
      <c r="Q54" s="58">
        <v>1</v>
      </c>
      <c r="R54" s="322" t="s">
        <v>550</v>
      </c>
      <c r="S54" s="290" t="s">
        <v>368</v>
      </c>
      <c r="T54" s="290" t="s">
        <v>810</v>
      </c>
      <c r="U54" s="290" t="s">
        <v>811</v>
      </c>
    </row>
    <row r="55" spans="1:21" s="28" customFormat="1" ht="89.1" customHeight="1">
      <c r="A55" s="53" t="s">
        <v>67</v>
      </c>
      <c r="B55" s="289">
        <v>44056</v>
      </c>
      <c r="C55" s="290" t="s">
        <v>551</v>
      </c>
      <c r="D55" s="54"/>
      <c r="E55" s="316" t="s">
        <v>552</v>
      </c>
      <c r="F55" s="317" t="s">
        <v>812</v>
      </c>
      <c r="G55" s="55">
        <v>0</v>
      </c>
      <c r="H55" s="318"/>
      <c r="I55" s="55">
        <f t="shared" ref="I55:I62" si="11">J55</f>
        <v>0</v>
      </c>
      <c r="J55" s="55"/>
      <c r="K55" s="319">
        <f t="shared" si="2"/>
        <v>0</v>
      </c>
      <c r="L55" s="319"/>
      <c r="M55" s="293" t="s">
        <v>309</v>
      </c>
      <c r="N55" s="320" t="e">
        <f t="shared" si="1"/>
        <v>#DIV/0!</v>
      </c>
      <c r="O55" s="320">
        <v>0</v>
      </c>
      <c r="P55" s="321" t="s">
        <v>545</v>
      </c>
      <c r="Q55" s="58">
        <v>1</v>
      </c>
      <c r="R55" s="322" t="s">
        <v>553</v>
      </c>
      <c r="S55" s="290"/>
      <c r="T55" s="290"/>
      <c r="U55" s="290"/>
    </row>
    <row r="56" spans="1:21" s="28" customFormat="1" ht="89.1" customHeight="1">
      <c r="A56" s="53" t="s">
        <v>67</v>
      </c>
      <c r="B56" s="289">
        <v>44056</v>
      </c>
      <c r="C56" s="290" t="s">
        <v>554</v>
      </c>
      <c r="D56" s="54"/>
      <c r="E56" s="316" t="s">
        <v>555</v>
      </c>
      <c r="F56" s="317" t="s">
        <v>813</v>
      </c>
      <c r="G56" s="55">
        <v>0</v>
      </c>
      <c r="H56" s="318"/>
      <c r="I56" s="55">
        <f t="shared" si="11"/>
        <v>0</v>
      </c>
      <c r="J56" s="55"/>
      <c r="K56" s="319">
        <f t="shared" si="2"/>
        <v>0</v>
      </c>
      <c r="L56" s="319"/>
      <c r="M56" s="293" t="s">
        <v>309</v>
      </c>
      <c r="N56" s="320" t="e">
        <f t="shared" si="1"/>
        <v>#DIV/0!</v>
      </c>
      <c r="O56" s="320">
        <v>0</v>
      </c>
      <c r="P56" s="321" t="s">
        <v>545</v>
      </c>
      <c r="Q56" s="58">
        <v>1</v>
      </c>
      <c r="R56" s="322" t="s">
        <v>556</v>
      </c>
      <c r="S56" s="290"/>
      <c r="T56" s="290"/>
      <c r="U56" s="290"/>
    </row>
    <row r="57" spans="1:21" s="28" customFormat="1" ht="89.1" customHeight="1">
      <c r="A57" s="53" t="s">
        <v>67</v>
      </c>
      <c r="B57" s="289">
        <v>44056</v>
      </c>
      <c r="C57" s="290" t="s">
        <v>557</v>
      </c>
      <c r="D57" s="54"/>
      <c r="E57" s="316" t="s">
        <v>558</v>
      </c>
      <c r="F57" s="317" t="s">
        <v>559</v>
      </c>
      <c r="G57" s="55">
        <v>1173377.5</v>
      </c>
      <c r="H57" s="318"/>
      <c r="I57" s="55">
        <f t="shared" si="11"/>
        <v>0</v>
      </c>
      <c r="J57" s="55"/>
      <c r="K57" s="319">
        <f t="shared" si="2"/>
        <v>1173377.5</v>
      </c>
      <c r="L57" s="319"/>
      <c r="M57" s="293" t="s">
        <v>309</v>
      </c>
      <c r="N57" s="320">
        <f t="shared" si="1"/>
        <v>0</v>
      </c>
      <c r="O57" s="320">
        <v>0</v>
      </c>
      <c r="P57" s="321" t="s">
        <v>545</v>
      </c>
      <c r="Q57" s="58">
        <v>1</v>
      </c>
      <c r="R57" s="322" t="s">
        <v>500</v>
      </c>
      <c r="S57" s="290"/>
      <c r="T57" s="290"/>
      <c r="U57" s="290"/>
    </row>
    <row r="58" spans="1:21" s="28" customFormat="1" ht="89.1" customHeight="1">
      <c r="A58" s="53" t="s">
        <v>67</v>
      </c>
      <c r="B58" s="289">
        <v>44056</v>
      </c>
      <c r="C58" s="290" t="s">
        <v>560</v>
      </c>
      <c r="D58" s="54"/>
      <c r="E58" s="316" t="s">
        <v>561</v>
      </c>
      <c r="F58" s="317" t="s">
        <v>814</v>
      </c>
      <c r="G58" s="55">
        <v>0</v>
      </c>
      <c r="H58" s="318"/>
      <c r="I58" s="55">
        <f t="shared" si="11"/>
        <v>0</v>
      </c>
      <c r="J58" s="55"/>
      <c r="K58" s="319">
        <f t="shared" si="2"/>
        <v>0</v>
      </c>
      <c r="L58" s="319"/>
      <c r="M58" s="293" t="s">
        <v>309</v>
      </c>
      <c r="N58" s="320" t="e">
        <f t="shared" si="1"/>
        <v>#DIV/0!</v>
      </c>
      <c r="O58" s="320">
        <v>0</v>
      </c>
      <c r="P58" s="321" t="s">
        <v>545</v>
      </c>
      <c r="Q58" s="58">
        <v>1</v>
      </c>
      <c r="R58" s="322" t="s">
        <v>562</v>
      </c>
      <c r="S58" s="290"/>
      <c r="T58" s="290"/>
      <c r="U58" s="290"/>
    </row>
    <row r="59" spans="1:21" s="28" customFormat="1" ht="89.1" customHeight="1">
      <c r="A59" s="53" t="s">
        <v>67</v>
      </c>
      <c r="B59" s="289">
        <v>44056</v>
      </c>
      <c r="C59" s="290" t="s">
        <v>563</v>
      </c>
      <c r="D59" s="54"/>
      <c r="E59" s="316" t="s">
        <v>564</v>
      </c>
      <c r="F59" s="317" t="s">
        <v>815</v>
      </c>
      <c r="G59" s="55">
        <v>0</v>
      </c>
      <c r="H59" s="318"/>
      <c r="I59" s="55">
        <f t="shared" si="11"/>
        <v>0</v>
      </c>
      <c r="J59" s="55"/>
      <c r="K59" s="319">
        <f t="shared" si="2"/>
        <v>0</v>
      </c>
      <c r="L59" s="319"/>
      <c r="M59" s="293" t="s">
        <v>309</v>
      </c>
      <c r="N59" s="320" t="e">
        <f t="shared" si="1"/>
        <v>#DIV/0!</v>
      </c>
      <c r="O59" s="320">
        <v>0</v>
      </c>
      <c r="P59" s="321" t="s">
        <v>545</v>
      </c>
      <c r="Q59" s="58">
        <v>1</v>
      </c>
      <c r="R59" s="322" t="s">
        <v>565</v>
      </c>
      <c r="S59" s="290"/>
      <c r="T59" s="290"/>
      <c r="U59" s="290"/>
    </row>
    <row r="60" spans="1:21" s="28" customFormat="1" ht="89.1" customHeight="1">
      <c r="A60" s="53" t="s">
        <v>67</v>
      </c>
      <c r="B60" s="289">
        <v>44056</v>
      </c>
      <c r="C60" s="290" t="s">
        <v>566</v>
      </c>
      <c r="D60" s="54"/>
      <c r="E60" s="316" t="s">
        <v>567</v>
      </c>
      <c r="F60" s="317" t="s">
        <v>568</v>
      </c>
      <c r="G60" s="55">
        <v>1840255.99</v>
      </c>
      <c r="H60" s="318"/>
      <c r="I60" s="55">
        <f t="shared" si="11"/>
        <v>0</v>
      </c>
      <c r="J60" s="55"/>
      <c r="K60" s="319">
        <f t="shared" si="2"/>
        <v>1840255.99</v>
      </c>
      <c r="L60" s="319"/>
      <c r="M60" s="293" t="s">
        <v>309</v>
      </c>
      <c r="N60" s="320">
        <f t="shared" si="1"/>
        <v>0</v>
      </c>
      <c r="O60" s="320">
        <v>0</v>
      </c>
      <c r="P60" s="321" t="s">
        <v>569</v>
      </c>
      <c r="Q60" s="58">
        <v>22</v>
      </c>
      <c r="R60" s="322" t="s">
        <v>131</v>
      </c>
      <c r="S60" s="290"/>
      <c r="T60" s="290"/>
      <c r="U60" s="290"/>
    </row>
    <row r="61" spans="1:21" s="28" customFormat="1" ht="89.1" customHeight="1">
      <c r="A61" s="53" t="s">
        <v>67</v>
      </c>
      <c r="B61" s="289">
        <v>44056</v>
      </c>
      <c r="C61" s="290" t="s">
        <v>570</v>
      </c>
      <c r="D61" s="54"/>
      <c r="E61" s="316" t="s">
        <v>571</v>
      </c>
      <c r="F61" s="317" t="s">
        <v>572</v>
      </c>
      <c r="G61" s="55">
        <v>1989643.25</v>
      </c>
      <c r="H61" s="318"/>
      <c r="I61" s="55">
        <f t="shared" si="11"/>
        <v>0</v>
      </c>
      <c r="J61" s="55"/>
      <c r="K61" s="319">
        <f t="shared" si="2"/>
        <v>1989643.25</v>
      </c>
      <c r="L61" s="319"/>
      <c r="M61" s="293" t="s">
        <v>309</v>
      </c>
      <c r="N61" s="320">
        <f t="shared" si="1"/>
        <v>0</v>
      </c>
      <c r="O61" s="320">
        <v>0</v>
      </c>
      <c r="P61" s="321" t="s">
        <v>569</v>
      </c>
      <c r="Q61" s="58">
        <v>23</v>
      </c>
      <c r="R61" s="322" t="s">
        <v>134</v>
      </c>
      <c r="S61" s="290"/>
      <c r="T61" s="290"/>
      <c r="U61" s="290"/>
    </row>
    <row r="62" spans="1:21" s="28" customFormat="1" ht="89.1" customHeight="1">
      <c r="A62" s="53" t="s">
        <v>67</v>
      </c>
      <c r="B62" s="289">
        <v>44056</v>
      </c>
      <c r="C62" s="290" t="s">
        <v>573</v>
      </c>
      <c r="D62" s="54"/>
      <c r="E62" s="316" t="s">
        <v>553</v>
      </c>
      <c r="F62" s="317" t="s">
        <v>816</v>
      </c>
      <c r="G62" s="55">
        <v>485302.67</v>
      </c>
      <c r="H62" s="318"/>
      <c r="I62" s="55">
        <f t="shared" si="11"/>
        <v>0</v>
      </c>
      <c r="J62" s="55"/>
      <c r="K62" s="319">
        <f t="shared" si="2"/>
        <v>485302.67</v>
      </c>
      <c r="L62" s="319"/>
      <c r="M62" s="293" t="s">
        <v>309</v>
      </c>
      <c r="N62" s="320">
        <f t="shared" si="1"/>
        <v>0</v>
      </c>
      <c r="O62" s="320">
        <v>0</v>
      </c>
      <c r="P62" s="321" t="s">
        <v>569</v>
      </c>
      <c r="Q62" s="58">
        <v>11</v>
      </c>
      <c r="R62" s="322" t="s">
        <v>99</v>
      </c>
      <c r="S62" s="290"/>
      <c r="T62" s="290"/>
      <c r="U62" s="290"/>
    </row>
    <row r="63" spans="1:21" s="28" customFormat="1" ht="89.1" customHeight="1">
      <c r="A63" s="53" t="s">
        <v>67</v>
      </c>
      <c r="B63" s="289">
        <v>44056</v>
      </c>
      <c r="C63" s="290" t="s">
        <v>574</v>
      </c>
      <c r="D63" s="54"/>
      <c r="E63" s="316" t="s">
        <v>575</v>
      </c>
      <c r="F63" s="317" t="s">
        <v>576</v>
      </c>
      <c r="G63" s="55">
        <v>782352.27</v>
      </c>
      <c r="H63" s="318"/>
      <c r="I63" s="55">
        <v>229047.14</v>
      </c>
      <c r="J63" s="55"/>
      <c r="K63" s="319">
        <f t="shared" si="2"/>
        <v>553305.13</v>
      </c>
      <c r="L63" s="319"/>
      <c r="M63" s="293" t="s">
        <v>309</v>
      </c>
      <c r="N63" s="320">
        <f t="shared" si="1"/>
        <v>0.29276727221613352</v>
      </c>
      <c r="O63" s="320">
        <v>0.25</v>
      </c>
      <c r="P63" s="321" t="s">
        <v>545</v>
      </c>
      <c r="Q63" s="58">
        <v>1</v>
      </c>
      <c r="R63" s="322" t="s">
        <v>316</v>
      </c>
      <c r="S63" s="290" t="s">
        <v>368</v>
      </c>
      <c r="T63" s="290" t="s">
        <v>817</v>
      </c>
      <c r="U63" s="290" t="s">
        <v>818</v>
      </c>
    </row>
    <row r="64" spans="1:21" s="28" customFormat="1" ht="89.1" customHeight="1">
      <c r="A64" s="53" t="s">
        <v>67</v>
      </c>
      <c r="B64" s="289">
        <v>44056</v>
      </c>
      <c r="C64" s="290" t="s">
        <v>577</v>
      </c>
      <c r="D64" s="54"/>
      <c r="E64" s="316" t="s">
        <v>578</v>
      </c>
      <c r="F64" s="317" t="s">
        <v>579</v>
      </c>
      <c r="G64" s="55">
        <v>574111.91</v>
      </c>
      <c r="H64" s="318"/>
      <c r="I64" s="55">
        <v>170938.25</v>
      </c>
      <c r="J64" s="55"/>
      <c r="K64" s="319">
        <f t="shared" si="2"/>
        <v>403173.66000000003</v>
      </c>
      <c r="L64" s="319"/>
      <c r="M64" s="293" t="s">
        <v>309</v>
      </c>
      <c r="N64" s="320">
        <f t="shared" si="1"/>
        <v>0.29774377960561726</v>
      </c>
      <c r="O64" s="320">
        <v>0.3</v>
      </c>
      <c r="P64" s="321" t="s">
        <v>545</v>
      </c>
      <c r="Q64" s="58">
        <v>1</v>
      </c>
      <c r="R64" s="322" t="s">
        <v>316</v>
      </c>
      <c r="S64" s="290" t="s">
        <v>368</v>
      </c>
      <c r="T64" s="290" t="s">
        <v>819</v>
      </c>
      <c r="U64" s="290" t="s">
        <v>820</v>
      </c>
    </row>
    <row r="65" spans="1:21" s="28" customFormat="1" ht="89.1" customHeight="1">
      <c r="A65" s="53" t="s">
        <v>67</v>
      </c>
      <c r="B65" s="289">
        <v>44056</v>
      </c>
      <c r="C65" s="290" t="s">
        <v>580</v>
      </c>
      <c r="D65" s="54"/>
      <c r="E65" s="316" t="s">
        <v>581</v>
      </c>
      <c r="F65" s="317" t="s">
        <v>582</v>
      </c>
      <c r="G65" s="55">
        <v>505123.5</v>
      </c>
      <c r="H65" s="318"/>
      <c r="I65" s="55">
        <f t="shared" ref="I65" si="12">J65</f>
        <v>0</v>
      </c>
      <c r="J65" s="55"/>
      <c r="K65" s="319">
        <f t="shared" si="2"/>
        <v>505123.5</v>
      </c>
      <c r="L65" s="319"/>
      <c r="M65" s="293" t="s">
        <v>309</v>
      </c>
      <c r="N65" s="320">
        <f t="shared" si="1"/>
        <v>0</v>
      </c>
      <c r="O65" s="320">
        <v>0</v>
      </c>
      <c r="P65" s="321" t="s">
        <v>545</v>
      </c>
      <c r="Q65" s="58">
        <v>1</v>
      </c>
      <c r="R65" s="322" t="s">
        <v>316</v>
      </c>
      <c r="S65" s="290"/>
      <c r="T65" s="290"/>
      <c r="U65" s="290"/>
    </row>
    <row r="66" spans="1:21" s="28" customFormat="1" ht="89.1" customHeight="1">
      <c r="A66" s="53" t="s">
        <v>67</v>
      </c>
      <c r="B66" s="289">
        <v>44056</v>
      </c>
      <c r="C66" s="290" t="s">
        <v>583</v>
      </c>
      <c r="D66" s="54"/>
      <c r="E66" s="316" t="s">
        <v>584</v>
      </c>
      <c r="F66" s="317" t="s">
        <v>585</v>
      </c>
      <c r="G66" s="55">
        <v>1486217.5</v>
      </c>
      <c r="H66" s="318"/>
      <c r="I66" s="55">
        <v>434518.79</v>
      </c>
      <c r="J66" s="55"/>
      <c r="K66" s="319">
        <f t="shared" si="2"/>
        <v>1051698.71</v>
      </c>
      <c r="L66" s="319"/>
      <c r="M66" s="293" t="s">
        <v>309</v>
      </c>
      <c r="N66" s="320">
        <f t="shared" si="1"/>
        <v>0.29236554541983256</v>
      </c>
      <c r="O66" s="320">
        <v>0.03</v>
      </c>
      <c r="P66" s="321" t="s">
        <v>545</v>
      </c>
      <c r="Q66" s="58">
        <v>1</v>
      </c>
      <c r="R66" s="322" t="s">
        <v>316</v>
      </c>
      <c r="S66" s="290" t="s">
        <v>821</v>
      </c>
      <c r="T66" s="290" t="s">
        <v>822</v>
      </c>
      <c r="U66" s="290" t="s">
        <v>823</v>
      </c>
    </row>
    <row r="67" spans="1:21" s="28" customFormat="1" ht="89.1" customHeight="1">
      <c r="A67" s="53" t="s">
        <v>67</v>
      </c>
      <c r="B67" s="289">
        <v>44056</v>
      </c>
      <c r="C67" s="290" t="s">
        <v>586</v>
      </c>
      <c r="D67" s="54"/>
      <c r="E67" s="316" t="s">
        <v>587</v>
      </c>
      <c r="F67" s="317" t="s">
        <v>588</v>
      </c>
      <c r="G67" s="55">
        <v>696000</v>
      </c>
      <c r="H67" s="318"/>
      <c r="I67" s="55">
        <f t="shared" ref="I67" si="13">J67</f>
        <v>0</v>
      </c>
      <c r="J67" s="55"/>
      <c r="K67" s="319">
        <f t="shared" si="2"/>
        <v>696000</v>
      </c>
      <c r="L67" s="319"/>
      <c r="M67" s="293" t="s">
        <v>309</v>
      </c>
      <c r="N67" s="320">
        <f t="shared" si="1"/>
        <v>0</v>
      </c>
      <c r="O67" s="320">
        <v>0.03</v>
      </c>
      <c r="P67" s="321" t="s">
        <v>545</v>
      </c>
      <c r="Q67" s="58">
        <v>1</v>
      </c>
      <c r="R67" s="322" t="s">
        <v>316</v>
      </c>
      <c r="S67" s="290"/>
      <c r="T67" s="290"/>
      <c r="U67" s="290"/>
    </row>
    <row r="68" spans="1:21" s="28" customFormat="1" ht="89.1" customHeight="1">
      <c r="A68" s="53" t="s">
        <v>67</v>
      </c>
      <c r="B68" s="289">
        <v>44056</v>
      </c>
      <c r="C68" s="290" t="s">
        <v>589</v>
      </c>
      <c r="D68" s="54"/>
      <c r="E68" s="316" t="s">
        <v>590</v>
      </c>
      <c r="F68" s="317" t="s">
        <v>591</v>
      </c>
      <c r="G68" s="55">
        <v>2214074.6800000002</v>
      </c>
      <c r="H68" s="318"/>
      <c r="I68" s="55">
        <v>646796.84</v>
      </c>
      <c r="J68" s="55"/>
      <c r="K68" s="319">
        <f t="shared" si="2"/>
        <v>1567277.8400000003</v>
      </c>
      <c r="L68" s="319"/>
      <c r="M68" s="293" t="s">
        <v>309</v>
      </c>
      <c r="N68" s="320">
        <f t="shared" si="1"/>
        <v>0.29212964036064037</v>
      </c>
      <c r="O68" s="320">
        <v>0.14000000000000001</v>
      </c>
      <c r="P68" s="321" t="s">
        <v>545</v>
      </c>
      <c r="Q68" s="58">
        <v>1</v>
      </c>
      <c r="R68" s="322" t="s">
        <v>592</v>
      </c>
      <c r="S68" s="290" t="s">
        <v>821</v>
      </c>
      <c r="T68" s="290" t="s">
        <v>824</v>
      </c>
      <c r="U68" s="290" t="s">
        <v>825</v>
      </c>
    </row>
    <row r="69" spans="1:21" s="28" customFormat="1" ht="89.1" customHeight="1">
      <c r="A69" s="53" t="s">
        <v>67</v>
      </c>
      <c r="B69" s="289">
        <v>44056</v>
      </c>
      <c r="C69" s="290" t="s">
        <v>593</v>
      </c>
      <c r="D69" s="54"/>
      <c r="E69" s="316" t="s">
        <v>594</v>
      </c>
      <c r="F69" s="317" t="s">
        <v>595</v>
      </c>
      <c r="G69" s="55">
        <v>981207.85</v>
      </c>
      <c r="H69" s="318"/>
      <c r="I69" s="55">
        <f t="shared" ref="I69:I71" si="14">J69</f>
        <v>0</v>
      </c>
      <c r="J69" s="55"/>
      <c r="K69" s="319">
        <f t="shared" si="2"/>
        <v>981207.85</v>
      </c>
      <c r="L69" s="319"/>
      <c r="M69" s="293" t="s">
        <v>309</v>
      </c>
      <c r="N69" s="320">
        <f t="shared" si="1"/>
        <v>0</v>
      </c>
      <c r="O69" s="320">
        <v>0</v>
      </c>
      <c r="P69" s="321" t="s">
        <v>545</v>
      </c>
      <c r="Q69" s="58">
        <v>1</v>
      </c>
      <c r="R69" s="322" t="s">
        <v>596</v>
      </c>
      <c r="S69" s="290"/>
      <c r="T69" s="290"/>
      <c r="U69" s="290"/>
    </row>
    <row r="70" spans="1:21" s="28" customFormat="1" ht="89.1" customHeight="1">
      <c r="A70" s="53" t="s">
        <v>67</v>
      </c>
      <c r="B70" s="289">
        <v>44056</v>
      </c>
      <c r="C70" s="290" t="s">
        <v>597</v>
      </c>
      <c r="D70" s="54"/>
      <c r="E70" s="316" t="s">
        <v>598</v>
      </c>
      <c r="F70" s="317" t="s">
        <v>599</v>
      </c>
      <c r="G70" s="55">
        <v>1038503.4</v>
      </c>
      <c r="H70" s="318"/>
      <c r="I70" s="55">
        <f t="shared" si="14"/>
        <v>0</v>
      </c>
      <c r="J70" s="55"/>
      <c r="K70" s="319">
        <f t="shared" si="2"/>
        <v>1038503.4</v>
      </c>
      <c r="L70" s="319"/>
      <c r="M70" s="293" t="s">
        <v>309</v>
      </c>
      <c r="N70" s="320">
        <f t="shared" si="1"/>
        <v>0</v>
      </c>
      <c r="O70" s="320">
        <v>0</v>
      </c>
      <c r="P70" s="321" t="s">
        <v>545</v>
      </c>
      <c r="Q70" s="58">
        <v>1</v>
      </c>
      <c r="R70" s="322" t="s">
        <v>600</v>
      </c>
      <c r="S70" s="290"/>
      <c r="T70" s="290"/>
      <c r="U70" s="290"/>
    </row>
    <row r="71" spans="1:21" s="28" customFormat="1" ht="89.1" customHeight="1">
      <c r="A71" s="53" t="s">
        <v>67</v>
      </c>
      <c r="B71" s="289">
        <v>44056</v>
      </c>
      <c r="C71" s="290" t="s">
        <v>601</v>
      </c>
      <c r="D71" s="54"/>
      <c r="E71" s="316" t="s">
        <v>602</v>
      </c>
      <c r="F71" s="317" t="s">
        <v>603</v>
      </c>
      <c r="G71" s="55">
        <v>2013518.48</v>
      </c>
      <c r="H71" s="318"/>
      <c r="I71" s="55">
        <f t="shared" si="14"/>
        <v>0</v>
      </c>
      <c r="J71" s="55"/>
      <c r="K71" s="319">
        <f t="shared" si="2"/>
        <v>2013518.48</v>
      </c>
      <c r="L71" s="319"/>
      <c r="M71" s="293" t="s">
        <v>309</v>
      </c>
      <c r="N71" s="320">
        <f t="shared" si="1"/>
        <v>0</v>
      </c>
      <c r="O71" s="320">
        <v>0</v>
      </c>
      <c r="P71" s="321" t="s">
        <v>545</v>
      </c>
      <c r="Q71" s="58">
        <v>1</v>
      </c>
      <c r="R71" s="322" t="s">
        <v>313</v>
      </c>
      <c r="S71" s="290"/>
      <c r="T71" s="290"/>
      <c r="U71" s="290"/>
    </row>
    <row r="72" spans="1:21" s="28" customFormat="1" ht="89.1" customHeight="1">
      <c r="A72" s="53" t="s">
        <v>67</v>
      </c>
      <c r="B72" s="289">
        <v>44056</v>
      </c>
      <c r="C72" s="290" t="s">
        <v>604</v>
      </c>
      <c r="D72" s="54"/>
      <c r="E72" s="316" t="s">
        <v>605</v>
      </c>
      <c r="F72" s="317" t="s">
        <v>606</v>
      </c>
      <c r="G72" s="55">
        <v>329245.98</v>
      </c>
      <c r="H72" s="318"/>
      <c r="I72" s="55">
        <v>91053.26</v>
      </c>
      <c r="J72" s="55"/>
      <c r="K72" s="319">
        <f t="shared" si="2"/>
        <v>238192.71999999997</v>
      </c>
      <c r="L72" s="319"/>
      <c r="M72" s="293" t="s">
        <v>309</v>
      </c>
      <c r="N72" s="320">
        <f t="shared" si="1"/>
        <v>0.27655086327857364</v>
      </c>
      <c r="O72" s="320">
        <v>0.6</v>
      </c>
      <c r="P72" s="321" t="s">
        <v>545</v>
      </c>
      <c r="Q72" s="58">
        <v>1</v>
      </c>
      <c r="R72" s="322" t="s">
        <v>310</v>
      </c>
      <c r="S72" s="290" t="s">
        <v>368</v>
      </c>
      <c r="T72" s="290" t="s">
        <v>826</v>
      </c>
      <c r="U72" s="290" t="s">
        <v>827</v>
      </c>
    </row>
    <row r="73" spans="1:21" s="28" customFormat="1" ht="89.1" customHeight="1">
      <c r="A73" s="53" t="s">
        <v>67</v>
      </c>
      <c r="B73" s="289">
        <v>44056</v>
      </c>
      <c r="C73" s="290" t="s">
        <v>607</v>
      </c>
      <c r="D73" s="54"/>
      <c r="E73" s="316" t="s">
        <v>608</v>
      </c>
      <c r="F73" s="317" t="s">
        <v>609</v>
      </c>
      <c r="G73" s="55">
        <v>1677111.46</v>
      </c>
      <c r="H73" s="318"/>
      <c r="I73" s="55">
        <f t="shared" ref="I73:I80" si="15">J73</f>
        <v>0</v>
      </c>
      <c r="J73" s="55"/>
      <c r="K73" s="319">
        <f t="shared" si="2"/>
        <v>1677111.46</v>
      </c>
      <c r="L73" s="319"/>
      <c r="M73" s="293" t="s">
        <v>309</v>
      </c>
      <c r="N73" s="320">
        <f t="shared" si="1"/>
        <v>0</v>
      </c>
      <c r="O73" s="320">
        <v>0</v>
      </c>
      <c r="P73" s="321" t="s">
        <v>545</v>
      </c>
      <c r="Q73" s="58">
        <v>1</v>
      </c>
      <c r="R73" s="322" t="s">
        <v>310</v>
      </c>
      <c r="S73" s="290"/>
      <c r="T73" s="290"/>
      <c r="U73" s="290"/>
    </row>
    <row r="74" spans="1:21" s="28" customFormat="1" ht="89.1" customHeight="1">
      <c r="A74" s="53" t="s">
        <v>67</v>
      </c>
      <c r="B74" s="289">
        <v>44056</v>
      </c>
      <c r="C74" s="290" t="s">
        <v>610</v>
      </c>
      <c r="D74" s="54"/>
      <c r="E74" s="316" t="s">
        <v>611</v>
      </c>
      <c r="F74" s="317" t="s">
        <v>612</v>
      </c>
      <c r="G74" s="55">
        <v>537488.02</v>
      </c>
      <c r="H74" s="318"/>
      <c r="I74" s="55">
        <f t="shared" si="15"/>
        <v>0</v>
      </c>
      <c r="J74" s="55"/>
      <c r="K74" s="319">
        <f t="shared" si="2"/>
        <v>537488.02</v>
      </c>
      <c r="L74" s="319"/>
      <c r="M74" s="293" t="s">
        <v>309</v>
      </c>
      <c r="N74" s="320">
        <f t="shared" si="1"/>
        <v>0</v>
      </c>
      <c r="O74" s="320">
        <v>0</v>
      </c>
      <c r="P74" s="321" t="s">
        <v>545</v>
      </c>
      <c r="Q74" s="58">
        <v>1</v>
      </c>
      <c r="R74" s="322" t="s">
        <v>310</v>
      </c>
      <c r="S74" s="290"/>
      <c r="T74" s="290"/>
      <c r="U74" s="290"/>
    </row>
    <row r="75" spans="1:21" s="28" customFormat="1" ht="89.1" customHeight="1">
      <c r="A75" s="53" t="s">
        <v>67</v>
      </c>
      <c r="B75" s="289">
        <v>44056</v>
      </c>
      <c r="C75" s="290" t="s">
        <v>613</v>
      </c>
      <c r="D75" s="54"/>
      <c r="E75" s="316" t="s">
        <v>614</v>
      </c>
      <c r="F75" s="317" t="s">
        <v>615</v>
      </c>
      <c r="G75" s="55">
        <v>98681.77</v>
      </c>
      <c r="H75" s="318"/>
      <c r="I75" s="55">
        <f t="shared" si="15"/>
        <v>0</v>
      </c>
      <c r="J75" s="55"/>
      <c r="K75" s="319">
        <f t="shared" si="2"/>
        <v>98681.77</v>
      </c>
      <c r="L75" s="319"/>
      <c r="M75" s="293" t="s">
        <v>309</v>
      </c>
      <c r="N75" s="320">
        <f t="shared" si="1"/>
        <v>0</v>
      </c>
      <c r="O75" s="320">
        <v>0</v>
      </c>
      <c r="P75" s="321" t="s">
        <v>545</v>
      </c>
      <c r="Q75" s="58">
        <v>1</v>
      </c>
      <c r="R75" s="322" t="s">
        <v>616</v>
      </c>
      <c r="S75" s="290"/>
      <c r="T75" s="290"/>
      <c r="U75" s="290"/>
    </row>
    <row r="76" spans="1:21" s="28" customFormat="1" ht="89.1" customHeight="1">
      <c r="A76" s="53" t="s">
        <v>67</v>
      </c>
      <c r="B76" s="289">
        <v>44056</v>
      </c>
      <c r="C76" s="290" t="s">
        <v>617</v>
      </c>
      <c r="D76" s="54"/>
      <c r="E76" s="316" t="s">
        <v>618</v>
      </c>
      <c r="F76" s="317" t="s">
        <v>619</v>
      </c>
      <c r="G76" s="55">
        <v>77181.7</v>
      </c>
      <c r="H76" s="318"/>
      <c r="I76" s="55">
        <f t="shared" si="15"/>
        <v>0</v>
      </c>
      <c r="J76" s="55"/>
      <c r="K76" s="319">
        <f t="shared" si="2"/>
        <v>77181.7</v>
      </c>
      <c r="L76" s="319"/>
      <c r="M76" s="293" t="s">
        <v>309</v>
      </c>
      <c r="N76" s="320">
        <f t="shared" si="1"/>
        <v>0</v>
      </c>
      <c r="O76" s="320">
        <v>0</v>
      </c>
      <c r="P76" s="321" t="s">
        <v>545</v>
      </c>
      <c r="Q76" s="58">
        <v>1</v>
      </c>
      <c r="R76" s="322" t="s">
        <v>616</v>
      </c>
      <c r="S76" s="290"/>
      <c r="T76" s="290"/>
      <c r="U76" s="290"/>
    </row>
    <row r="77" spans="1:21" s="28" customFormat="1" ht="89.1" customHeight="1">
      <c r="A77" s="53" t="s">
        <v>67</v>
      </c>
      <c r="B77" s="289">
        <v>44056</v>
      </c>
      <c r="C77" s="290" t="s">
        <v>620</v>
      </c>
      <c r="D77" s="54"/>
      <c r="E77" s="316" t="s">
        <v>621</v>
      </c>
      <c r="F77" s="317" t="s">
        <v>622</v>
      </c>
      <c r="G77" s="55">
        <v>83738.87</v>
      </c>
      <c r="H77" s="318"/>
      <c r="I77" s="55">
        <f t="shared" si="15"/>
        <v>0</v>
      </c>
      <c r="J77" s="55"/>
      <c r="K77" s="319">
        <f t="shared" si="2"/>
        <v>83738.87</v>
      </c>
      <c r="L77" s="319"/>
      <c r="M77" s="293" t="s">
        <v>309</v>
      </c>
      <c r="N77" s="320">
        <f t="shared" si="1"/>
        <v>0</v>
      </c>
      <c r="O77" s="320">
        <v>0</v>
      </c>
      <c r="P77" s="321" t="s">
        <v>545</v>
      </c>
      <c r="Q77" s="58">
        <v>1</v>
      </c>
      <c r="R77" s="322" t="s">
        <v>616</v>
      </c>
      <c r="S77" s="290"/>
      <c r="T77" s="290"/>
      <c r="U77" s="290"/>
    </row>
    <row r="78" spans="1:21" s="28" customFormat="1" ht="89.1" customHeight="1">
      <c r="A78" s="53" t="s">
        <v>67</v>
      </c>
      <c r="B78" s="289">
        <v>44056</v>
      </c>
      <c r="C78" s="290" t="s">
        <v>623</v>
      </c>
      <c r="D78" s="54"/>
      <c r="E78" s="316" t="s">
        <v>624</v>
      </c>
      <c r="F78" s="317" t="s">
        <v>625</v>
      </c>
      <c r="G78" s="55">
        <v>87098.37</v>
      </c>
      <c r="H78" s="318"/>
      <c r="I78" s="55">
        <f t="shared" si="15"/>
        <v>0</v>
      </c>
      <c r="J78" s="55"/>
      <c r="K78" s="319">
        <f t="shared" si="2"/>
        <v>87098.37</v>
      </c>
      <c r="L78" s="319"/>
      <c r="M78" s="293" t="s">
        <v>309</v>
      </c>
      <c r="N78" s="320">
        <f t="shared" si="1"/>
        <v>0</v>
      </c>
      <c r="O78" s="320">
        <v>0</v>
      </c>
      <c r="P78" s="321" t="s">
        <v>545</v>
      </c>
      <c r="Q78" s="58">
        <v>1</v>
      </c>
      <c r="R78" s="322" t="s">
        <v>616</v>
      </c>
      <c r="S78" s="290"/>
      <c r="T78" s="290"/>
      <c r="U78" s="290"/>
    </row>
    <row r="79" spans="1:21" s="28" customFormat="1" ht="89.1" customHeight="1">
      <c r="A79" s="53" t="s">
        <v>67</v>
      </c>
      <c r="B79" s="289">
        <v>44056</v>
      </c>
      <c r="C79" s="290" t="s">
        <v>626</v>
      </c>
      <c r="D79" s="54"/>
      <c r="E79" s="316" t="s">
        <v>627</v>
      </c>
      <c r="F79" s="317" t="s">
        <v>628</v>
      </c>
      <c r="G79" s="55">
        <v>84414.91</v>
      </c>
      <c r="H79" s="318"/>
      <c r="I79" s="55">
        <f t="shared" si="15"/>
        <v>0</v>
      </c>
      <c r="J79" s="55"/>
      <c r="K79" s="319">
        <f t="shared" si="2"/>
        <v>84414.91</v>
      </c>
      <c r="L79" s="319"/>
      <c r="M79" s="293" t="s">
        <v>309</v>
      </c>
      <c r="N79" s="320">
        <f t="shared" si="1"/>
        <v>0</v>
      </c>
      <c r="O79" s="320">
        <v>0</v>
      </c>
      <c r="P79" s="321" t="s">
        <v>545</v>
      </c>
      <c r="Q79" s="58">
        <v>1</v>
      </c>
      <c r="R79" s="322" t="s">
        <v>616</v>
      </c>
      <c r="S79" s="290"/>
      <c r="T79" s="290"/>
      <c r="U79" s="290"/>
    </row>
    <row r="80" spans="1:21" s="28" customFormat="1" ht="89.1" customHeight="1">
      <c r="A80" s="53" t="s">
        <v>67</v>
      </c>
      <c r="B80" s="289">
        <v>44056</v>
      </c>
      <c r="C80" s="290" t="s">
        <v>629</v>
      </c>
      <c r="D80" s="54"/>
      <c r="E80" s="316" t="s">
        <v>630</v>
      </c>
      <c r="F80" s="317" t="s">
        <v>631</v>
      </c>
      <c r="G80" s="55">
        <v>89485.71</v>
      </c>
      <c r="H80" s="318"/>
      <c r="I80" s="55">
        <f t="shared" si="15"/>
        <v>0</v>
      </c>
      <c r="J80" s="55"/>
      <c r="K80" s="319">
        <f t="shared" si="2"/>
        <v>89485.71</v>
      </c>
      <c r="L80" s="319"/>
      <c r="M80" s="293" t="s">
        <v>309</v>
      </c>
      <c r="N80" s="320">
        <f t="shared" si="1"/>
        <v>0</v>
      </c>
      <c r="O80" s="320">
        <v>0</v>
      </c>
      <c r="P80" s="321" t="s">
        <v>545</v>
      </c>
      <c r="Q80" s="58">
        <v>1</v>
      </c>
      <c r="R80" s="322" t="s">
        <v>616</v>
      </c>
      <c r="S80" s="290"/>
      <c r="T80" s="290"/>
      <c r="U80" s="290"/>
    </row>
    <row r="81" spans="1:21" s="28" customFormat="1" ht="89.1" customHeight="1">
      <c r="A81" s="53" t="s">
        <v>67</v>
      </c>
      <c r="B81" s="289">
        <v>44056</v>
      </c>
      <c r="C81" s="290" t="s">
        <v>632</v>
      </c>
      <c r="D81" s="54"/>
      <c r="E81" s="316" t="s">
        <v>633</v>
      </c>
      <c r="F81" s="317" t="s">
        <v>634</v>
      </c>
      <c r="G81" s="55">
        <v>366778.3</v>
      </c>
      <c r="H81" s="318"/>
      <c r="I81" s="55">
        <f>109799.34+187468.09</f>
        <v>297267.43</v>
      </c>
      <c r="J81" s="55"/>
      <c r="K81" s="319">
        <f t="shared" si="2"/>
        <v>69510.87</v>
      </c>
      <c r="L81" s="319"/>
      <c r="M81" s="293" t="s">
        <v>309</v>
      </c>
      <c r="N81" s="320">
        <f t="shared" si="1"/>
        <v>0.81048259943404499</v>
      </c>
      <c r="O81" s="320">
        <v>0.9</v>
      </c>
      <c r="P81" s="321" t="s">
        <v>545</v>
      </c>
      <c r="Q81" s="58">
        <v>1</v>
      </c>
      <c r="R81" s="322" t="s">
        <v>635</v>
      </c>
      <c r="S81" s="290" t="s">
        <v>368</v>
      </c>
      <c r="T81" s="290" t="s">
        <v>828</v>
      </c>
      <c r="U81" s="290" t="s">
        <v>829</v>
      </c>
    </row>
    <row r="82" spans="1:21" s="28" customFormat="1" ht="89.1" customHeight="1">
      <c r="A82" s="53" t="s">
        <v>67</v>
      </c>
      <c r="B82" s="289">
        <v>44056</v>
      </c>
      <c r="C82" s="290" t="s">
        <v>636</v>
      </c>
      <c r="D82" s="54"/>
      <c r="E82" s="316" t="s">
        <v>637</v>
      </c>
      <c r="F82" s="317" t="s">
        <v>830</v>
      </c>
      <c r="G82" s="55">
        <v>0</v>
      </c>
      <c r="H82" s="318"/>
      <c r="I82" s="55">
        <f t="shared" ref="I82" si="16">J82</f>
        <v>0</v>
      </c>
      <c r="J82" s="55"/>
      <c r="K82" s="319">
        <f t="shared" si="2"/>
        <v>0</v>
      </c>
      <c r="L82" s="319"/>
      <c r="M82" s="293" t="s">
        <v>309</v>
      </c>
      <c r="N82" s="320" t="e">
        <f t="shared" si="1"/>
        <v>#DIV/0!</v>
      </c>
      <c r="O82" s="320">
        <v>0</v>
      </c>
      <c r="P82" s="321" t="s">
        <v>545</v>
      </c>
      <c r="Q82" s="58">
        <v>1</v>
      </c>
      <c r="R82" s="322" t="s">
        <v>635</v>
      </c>
      <c r="S82" s="290"/>
      <c r="T82" s="290"/>
      <c r="U82" s="290"/>
    </row>
    <row r="83" spans="1:21" s="28" customFormat="1" ht="89.1" customHeight="1">
      <c r="A83" s="53" t="s">
        <v>67</v>
      </c>
      <c r="B83" s="289">
        <v>44056</v>
      </c>
      <c r="C83" s="290" t="s">
        <v>638</v>
      </c>
      <c r="D83" s="54"/>
      <c r="E83" s="316" t="s">
        <v>639</v>
      </c>
      <c r="F83" s="317" t="s">
        <v>640</v>
      </c>
      <c r="G83" s="55">
        <v>357260.83</v>
      </c>
      <c r="H83" s="318"/>
      <c r="I83" s="55">
        <v>106723.21</v>
      </c>
      <c r="J83" s="55"/>
      <c r="K83" s="319">
        <f t="shared" si="2"/>
        <v>250537.62</v>
      </c>
      <c r="L83" s="319"/>
      <c r="M83" s="293" t="s">
        <v>309</v>
      </c>
      <c r="N83" s="320">
        <f t="shared" si="1"/>
        <v>0.29872631152987023</v>
      </c>
      <c r="O83" s="320">
        <v>0.35</v>
      </c>
      <c r="P83" s="321" t="s">
        <v>545</v>
      </c>
      <c r="Q83" s="58">
        <v>1</v>
      </c>
      <c r="R83" s="322" t="s">
        <v>635</v>
      </c>
      <c r="S83" s="290" t="s">
        <v>368</v>
      </c>
      <c r="T83" s="290" t="s">
        <v>828</v>
      </c>
      <c r="U83" s="290" t="s">
        <v>831</v>
      </c>
    </row>
    <row r="84" spans="1:21" s="28" customFormat="1" ht="89.1" customHeight="1">
      <c r="A84" s="53" t="s">
        <v>67</v>
      </c>
      <c r="B84" s="289">
        <v>44056</v>
      </c>
      <c r="C84" s="290" t="s">
        <v>641</v>
      </c>
      <c r="D84" s="54"/>
      <c r="E84" s="316" t="s">
        <v>616</v>
      </c>
      <c r="F84" s="317" t="s">
        <v>642</v>
      </c>
      <c r="G84" s="55">
        <v>2499999.69</v>
      </c>
      <c r="H84" s="318"/>
      <c r="I84" s="55">
        <f t="shared" ref="I84:I86" si="17">J84</f>
        <v>0</v>
      </c>
      <c r="J84" s="55"/>
      <c r="K84" s="319">
        <f t="shared" si="2"/>
        <v>2499999.69</v>
      </c>
      <c r="L84" s="319"/>
      <c r="M84" s="293" t="s">
        <v>309</v>
      </c>
      <c r="N84" s="320">
        <f t="shared" si="1"/>
        <v>0</v>
      </c>
      <c r="O84" s="320">
        <v>0</v>
      </c>
      <c r="P84" s="321" t="s">
        <v>545</v>
      </c>
      <c r="Q84" s="58">
        <v>1</v>
      </c>
      <c r="R84" s="322" t="s">
        <v>635</v>
      </c>
      <c r="S84" s="290"/>
      <c r="T84" s="290"/>
      <c r="U84" s="290"/>
    </row>
    <row r="85" spans="1:21" s="28" customFormat="1" ht="89.1" customHeight="1">
      <c r="A85" s="53" t="s">
        <v>67</v>
      </c>
      <c r="B85" s="289">
        <v>44056</v>
      </c>
      <c r="C85" s="290" t="s">
        <v>643</v>
      </c>
      <c r="D85" s="54"/>
      <c r="E85" s="316" t="s">
        <v>644</v>
      </c>
      <c r="F85" s="317" t="s">
        <v>645</v>
      </c>
      <c r="G85" s="55">
        <v>2499682.11</v>
      </c>
      <c r="H85" s="318"/>
      <c r="I85" s="55">
        <f t="shared" si="17"/>
        <v>0</v>
      </c>
      <c r="J85" s="55"/>
      <c r="K85" s="319">
        <f t="shared" si="2"/>
        <v>2499682.11</v>
      </c>
      <c r="L85" s="319"/>
      <c r="M85" s="293" t="s">
        <v>309</v>
      </c>
      <c r="N85" s="320">
        <f t="shared" si="1"/>
        <v>0</v>
      </c>
      <c r="O85" s="320">
        <v>0</v>
      </c>
      <c r="P85" s="321" t="s">
        <v>545</v>
      </c>
      <c r="Q85" s="58">
        <v>1</v>
      </c>
      <c r="R85" s="322" t="s">
        <v>635</v>
      </c>
      <c r="S85" s="290"/>
      <c r="T85" s="290"/>
      <c r="U85" s="290"/>
    </row>
    <row r="86" spans="1:21" s="28" customFormat="1" ht="89.1" customHeight="1">
      <c r="A86" s="53" t="s">
        <v>67</v>
      </c>
      <c r="B86" s="289">
        <v>44057</v>
      </c>
      <c r="C86" s="290" t="s">
        <v>646</v>
      </c>
      <c r="D86" s="54"/>
      <c r="E86" s="316" t="s">
        <v>647</v>
      </c>
      <c r="F86" s="317" t="s">
        <v>648</v>
      </c>
      <c r="G86" s="55">
        <v>859963.17</v>
      </c>
      <c r="H86" s="318"/>
      <c r="I86" s="55">
        <f t="shared" si="17"/>
        <v>0</v>
      </c>
      <c r="J86" s="55"/>
      <c r="K86" s="319">
        <f t="shared" si="2"/>
        <v>859963.17</v>
      </c>
      <c r="L86" s="319"/>
      <c r="M86" s="293" t="s">
        <v>309</v>
      </c>
      <c r="N86" s="320">
        <f t="shared" si="1"/>
        <v>0</v>
      </c>
      <c r="O86" s="320">
        <v>0</v>
      </c>
      <c r="P86" s="321" t="s">
        <v>545</v>
      </c>
      <c r="Q86" s="58">
        <v>1</v>
      </c>
      <c r="R86" s="322" t="s">
        <v>635</v>
      </c>
      <c r="S86" s="290"/>
      <c r="T86" s="290"/>
      <c r="U86" s="290"/>
    </row>
    <row r="87" spans="1:21" s="28" customFormat="1" ht="89.1" customHeight="1">
      <c r="A87" s="53" t="s">
        <v>67</v>
      </c>
      <c r="B87" s="289">
        <v>44057</v>
      </c>
      <c r="C87" s="290" t="s">
        <v>649</v>
      </c>
      <c r="D87" s="54"/>
      <c r="E87" s="316" t="s">
        <v>650</v>
      </c>
      <c r="F87" s="317" t="s">
        <v>651</v>
      </c>
      <c r="G87" s="55">
        <v>1304349.94</v>
      </c>
      <c r="H87" s="318"/>
      <c r="I87" s="55">
        <v>384222.22</v>
      </c>
      <c r="J87" s="55"/>
      <c r="K87" s="319">
        <f t="shared" si="2"/>
        <v>920127.72</v>
      </c>
      <c r="L87" s="319"/>
      <c r="M87" s="293" t="s">
        <v>309</v>
      </c>
      <c r="N87" s="320">
        <f t="shared" si="1"/>
        <v>0.2945698912670629</v>
      </c>
      <c r="O87" s="320">
        <v>0.26</v>
      </c>
      <c r="P87" s="321" t="s">
        <v>545</v>
      </c>
      <c r="Q87" s="58">
        <v>1</v>
      </c>
      <c r="R87" s="322" t="s">
        <v>310</v>
      </c>
      <c r="S87" s="290" t="s">
        <v>368</v>
      </c>
      <c r="T87" s="290" t="s">
        <v>832</v>
      </c>
      <c r="U87" s="290" t="s">
        <v>833</v>
      </c>
    </row>
    <row r="88" spans="1:21" s="28" customFormat="1" ht="89.1" customHeight="1">
      <c r="A88" s="53" t="s">
        <v>67</v>
      </c>
      <c r="B88" s="289">
        <v>44057</v>
      </c>
      <c r="C88" s="290" t="s">
        <v>652</v>
      </c>
      <c r="D88" s="54"/>
      <c r="E88" s="316" t="s">
        <v>653</v>
      </c>
      <c r="F88" s="317" t="s">
        <v>654</v>
      </c>
      <c r="G88" s="55">
        <v>1293989.3999999999</v>
      </c>
      <c r="H88" s="318"/>
      <c r="I88" s="55">
        <v>383391.92</v>
      </c>
      <c r="J88" s="55"/>
      <c r="K88" s="319">
        <f t="shared" si="2"/>
        <v>910597.48</v>
      </c>
      <c r="L88" s="319"/>
      <c r="M88" s="293" t="s">
        <v>309</v>
      </c>
      <c r="N88" s="320">
        <f t="shared" si="1"/>
        <v>0.29628675474466792</v>
      </c>
      <c r="O88" s="320">
        <v>0.15</v>
      </c>
      <c r="P88" s="321" t="s">
        <v>545</v>
      </c>
      <c r="Q88" s="58">
        <v>1</v>
      </c>
      <c r="R88" s="322" t="s">
        <v>310</v>
      </c>
      <c r="S88" s="290" t="s">
        <v>821</v>
      </c>
      <c r="T88" s="290" t="s">
        <v>834</v>
      </c>
      <c r="U88" s="290" t="s">
        <v>835</v>
      </c>
    </row>
    <row r="89" spans="1:21" s="28" customFormat="1" ht="89.1" customHeight="1">
      <c r="A89" s="53" t="s">
        <v>67</v>
      </c>
      <c r="B89" s="289">
        <v>44057</v>
      </c>
      <c r="C89" s="290" t="s">
        <v>655</v>
      </c>
      <c r="D89" s="54"/>
      <c r="E89" s="316" t="s">
        <v>656</v>
      </c>
      <c r="F89" s="317" t="s">
        <v>657</v>
      </c>
      <c r="G89" s="55">
        <v>1290597.3600000001</v>
      </c>
      <c r="H89" s="318"/>
      <c r="I89" s="55">
        <v>381942.15</v>
      </c>
      <c r="J89" s="55"/>
      <c r="K89" s="319">
        <f t="shared" si="2"/>
        <v>908655.21000000008</v>
      </c>
      <c r="L89" s="319"/>
      <c r="M89" s="293" t="s">
        <v>309</v>
      </c>
      <c r="N89" s="320">
        <f t="shared" si="1"/>
        <v>0.2959421441866269</v>
      </c>
      <c r="O89" s="320">
        <v>0.12</v>
      </c>
      <c r="P89" s="321" t="s">
        <v>545</v>
      </c>
      <c r="Q89" s="58">
        <v>1</v>
      </c>
      <c r="R89" s="322" t="s">
        <v>310</v>
      </c>
      <c r="S89" s="290" t="s">
        <v>821</v>
      </c>
      <c r="T89" s="290" t="s">
        <v>836</v>
      </c>
      <c r="U89" s="290" t="s">
        <v>837</v>
      </c>
    </row>
    <row r="90" spans="1:21" s="28" customFormat="1" ht="89.1" customHeight="1">
      <c r="A90" s="53" t="s">
        <v>67</v>
      </c>
      <c r="B90" s="289">
        <v>44057</v>
      </c>
      <c r="C90" s="290" t="s">
        <v>658</v>
      </c>
      <c r="D90" s="54"/>
      <c r="E90" s="316" t="s">
        <v>659</v>
      </c>
      <c r="F90" s="317" t="s">
        <v>660</v>
      </c>
      <c r="G90" s="55">
        <v>1313012.94</v>
      </c>
      <c r="H90" s="318"/>
      <c r="I90" s="55">
        <v>383699.06</v>
      </c>
      <c r="J90" s="55"/>
      <c r="K90" s="319">
        <f t="shared" si="2"/>
        <v>929313.87999999989</v>
      </c>
      <c r="L90" s="319"/>
      <c r="M90" s="293" t="s">
        <v>309</v>
      </c>
      <c r="N90" s="320">
        <f t="shared" si="1"/>
        <v>0.29222793493566029</v>
      </c>
      <c r="O90" s="320">
        <v>0.35</v>
      </c>
      <c r="P90" s="321" t="s">
        <v>545</v>
      </c>
      <c r="Q90" s="58">
        <v>1</v>
      </c>
      <c r="R90" s="322" t="s">
        <v>316</v>
      </c>
      <c r="S90" s="290" t="s">
        <v>821</v>
      </c>
      <c r="T90" s="290" t="s">
        <v>838</v>
      </c>
      <c r="U90" s="290" t="s">
        <v>839</v>
      </c>
    </row>
    <row r="91" spans="1:21" s="28" customFormat="1" ht="89.1" customHeight="1">
      <c r="A91" s="53" t="s">
        <v>67</v>
      </c>
      <c r="B91" s="289">
        <v>44057</v>
      </c>
      <c r="C91" s="290" t="s">
        <v>661</v>
      </c>
      <c r="D91" s="54"/>
      <c r="E91" s="316" t="s">
        <v>662</v>
      </c>
      <c r="F91" s="317" t="s">
        <v>663</v>
      </c>
      <c r="G91" s="55">
        <v>1300653.8999999999</v>
      </c>
      <c r="H91" s="318"/>
      <c r="I91" s="55">
        <v>385107.96</v>
      </c>
      <c r="J91" s="55"/>
      <c r="K91" s="319">
        <f t="shared" si="2"/>
        <v>915545.94</v>
      </c>
      <c r="L91" s="319"/>
      <c r="M91" s="293" t="s">
        <v>309</v>
      </c>
      <c r="N91" s="320">
        <f t="shared" si="1"/>
        <v>0.29608796006378024</v>
      </c>
      <c r="O91" s="320">
        <v>0.32</v>
      </c>
      <c r="P91" s="321" t="s">
        <v>545</v>
      </c>
      <c r="Q91" s="58">
        <v>1</v>
      </c>
      <c r="R91" s="322" t="s">
        <v>316</v>
      </c>
      <c r="S91" s="290" t="s">
        <v>821</v>
      </c>
      <c r="T91" s="290" t="s">
        <v>840</v>
      </c>
      <c r="U91" s="290" t="s">
        <v>841</v>
      </c>
    </row>
    <row r="92" spans="1:21" s="28" customFormat="1" ht="89.1" customHeight="1">
      <c r="A92" s="53" t="s">
        <v>67</v>
      </c>
      <c r="B92" s="289">
        <v>44057</v>
      </c>
      <c r="C92" s="290" t="s">
        <v>664</v>
      </c>
      <c r="D92" s="54"/>
      <c r="E92" s="316" t="s">
        <v>665</v>
      </c>
      <c r="F92" s="317" t="s">
        <v>666</v>
      </c>
      <c r="G92" s="55">
        <v>1290461.08</v>
      </c>
      <c r="H92" s="318"/>
      <c r="I92" s="55">
        <v>382959.82</v>
      </c>
      <c r="J92" s="55"/>
      <c r="K92" s="319">
        <f t="shared" si="2"/>
        <v>907501.26</v>
      </c>
      <c r="L92" s="319"/>
      <c r="M92" s="293" t="s">
        <v>309</v>
      </c>
      <c r="N92" s="320">
        <f t="shared" si="1"/>
        <v>0.29676200695645932</v>
      </c>
      <c r="O92" s="320">
        <v>0.05</v>
      </c>
      <c r="P92" s="321" t="s">
        <v>545</v>
      </c>
      <c r="Q92" s="58">
        <v>1</v>
      </c>
      <c r="R92" s="322" t="s">
        <v>635</v>
      </c>
      <c r="S92" s="290" t="s">
        <v>821</v>
      </c>
      <c r="T92" s="290" t="s">
        <v>842</v>
      </c>
      <c r="U92" s="290" t="s">
        <v>843</v>
      </c>
    </row>
    <row r="93" spans="1:21" s="28" customFormat="1" ht="89.1" customHeight="1">
      <c r="A93" s="53" t="s">
        <v>67</v>
      </c>
      <c r="B93" s="289">
        <v>44057</v>
      </c>
      <c r="C93" s="290" t="s">
        <v>667</v>
      </c>
      <c r="D93" s="54"/>
      <c r="E93" s="316" t="s">
        <v>668</v>
      </c>
      <c r="F93" s="317" t="s">
        <v>669</v>
      </c>
      <c r="G93" s="55">
        <v>1328410.4099999999</v>
      </c>
      <c r="H93" s="318"/>
      <c r="I93" s="55">
        <v>392163.36</v>
      </c>
      <c r="J93" s="55"/>
      <c r="K93" s="319">
        <f t="shared" si="2"/>
        <v>936247.04999999993</v>
      </c>
      <c r="L93" s="319"/>
      <c r="M93" s="293" t="s">
        <v>309</v>
      </c>
      <c r="N93" s="320">
        <f t="shared" si="1"/>
        <v>0.29521250138351446</v>
      </c>
      <c r="O93" s="320">
        <v>0.1</v>
      </c>
      <c r="P93" s="321" t="s">
        <v>545</v>
      </c>
      <c r="Q93" s="58">
        <v>1</v>
      </c>
      <c r="R93" s="322" t="s">
        <v>310</v>
      </c>
      <c r="S93" s="290" t="s">
        <v>821</v>
      </c>
      <c r="T93" s="290" t="s">
        <v>844</v>
      </c>
      <c r="U93" s="290" t="s">
        <v>845</v>
      </c>
    </row>
    <row r="94" spans="1:21" s="28" customFormat="1" ht="89.1" customHeight="1">
      <c r="A94" s="53" t="s">
        <v>67</v>
      </c>
      <c r="B94" s="289">
        <v>44057</v>
      </c>
      <c r="C94" s="290" t="s">
        <v>670</v>
      </c>
      <c r="D94" s="54"/>
      <c r="E94" s="316" t="s">
        <v>671</v>
      </c>
      <c r="F94" s="317" t="s">
        <v>672</v>
      </c>
      <c r="G94" s="55">
        <v>1297167.1200000001</v>
      </c>
      <c r="H94" s="318"/>
      <c r="I94" s="55">
        <f t="shared" ref="I94:I95" si="18">J94</f>
        <v>0</v>
      </c>
      <c r="J94" s="55"/>
      <c r="K94" s="319">
        <f t="shared" si="2"/>
        <v>1297167.1200000001</v>
      </c>
      <c r="L94" s="319"/>
      <c r="M94" s="293" t="s">
        <v>309</v>
      </c>
      <c r="N94" s="320">
        <f t="shared" si="1"/>
        <v>0</v>
      </c>
      <c r="O94" s="320">
        <v>0</v>
      </c>
      <c r="P94" s="321" t="s">
        <v>545</v>
      </c>
      <c r="Q94" s="58">
        <v>1</v>
      </c>
      <c r="R94" s="322" t="s">
        <v>673</v>
      </c>
      <c r="S94" s="290"/>
      <c r="T94" s="290"/>
      <c r="U94" s="290"/>
    </row>
    <row r="95" spans="1:21" s="28" customFormat="1" ht="89.1" customHeight="1">
      <c r="A95" s="53" t="s">
        <v>67</v>
      </c>
      <c r="B95" s="289">
        <v>44057</v>
      </c>
      <c r="C95" s="290" t="s">
        <v>674</v>
      </c>
      <c r="D95" s="54"/>
      <c r="E95" s="316" t="s">
        <v>675</v>
      </c>
      <c r="F95" s="317" t="s">
        <v>676</v>
      </c>
      <c r="G95" s="55">
        <v>1277544.6399999999</v>
      </c>
      <c r="H95" s="318"/>
      <c r="I95" s="55">
        <f t="shared" si="18"/>
        <v>0</v>
      </c>
      <c r="J95" s="55"/>
      <c r="K95" s="319">
        <f t="shared" si="2"/>
        <v>1277544.6399999999</v>
      </c>
      <c r="L95" s="319"/>
      <c r="M95" s="293" t="s">
        <v>309</v>
      </c>
      <c r="N95" s="320">
        <f t="shared" si="1"/>
        <v>0</v>
      </c>
      <c r="O95" s="320">
        <v>0</v>
      </c>
      <c r="P95" s="321" t="s">
        <v>545</v>
      </c>
      <c r="Q95" s="58">
        <v>1</v>
      </c>
      <c r="R95" s="322" t="s">
        <v>600</v>
      </c>
      <c r="S95" s="290"/>
      <c r="T95" s="290"/>
      <c r="U95" s="290"/>
    </row>
    <row r="96" spans="1:21" s="28" customFormat="1" ht="89.1" customHeight="1">
      <c r="A96" s="53" t="s">
        <v>67</v>
      </c>
      <c r="B96" s="289">
        <v>44057</v>
      </c>
      <c r="C96" s="290" t="s">
        <v>677</v>
      </c>
      <c r="D96" s="54"/>
      <c r="E96" s="316" t="s">
        <v>678</v>
      </c>
      <c r="F96" s="317" t="s">
        <v>679</v>
      </c>
      <c r="G96" s="55">
        <v>1260368.77</v>
      </c>
      <c r="H96" s="318"/>
      <c r="I96" s="55">
        <v>371540.27</v>
      </c>
      <c r="J96" s="55"/>
      <c r="K96" s="319">
        <f t="shared" si="2"/>
        <v>888828.5</v>
      </c>
      <c r="L96" s="319"/>
      <c r="M96" s="293" t="s">
        <v>309</v>
      </c>
      <c r="N96" s="320">
        <f t="shared" si="1"/>
        <v>0.29478695350409229</v>
      </c>
      <c r="O96" s="320">
        <v>0.14000000000000001</v>
      </c>
      <c r="P96" s="321" t="s">
        <v>545</v>
      </c>
      <c r="Q96" s="58">
        <v>1</v>
      </c>
      <c r="R96" s="322" t="s">
        <v>310</v>
      </c>
      <c r="S96" s="290" t="s">
        <v>821</v>
      </c>
      <c r="T96" s="290" t="s">
        <v>787</v>
      </c>
      <c r="U96" s="290" t="s">
        <v>846</v>
      </c>
    </row>
    <row r="97" spans="1:21" s="28" customFormat="1" ht="89.1" customHeight="1">
      <c r="A97" s="53" t="s">
        <v>67</v>
      </c>
      <c r="B97" s="289">
        <v>44057</v>
      </c>
      <c r="C97" s="290" t="s">
        <v>680</v>
      </c>
      <c r="D97" s="54"/>
      <c r="E97" s="316" t="s">
        <v>681</v>
      </c>
      <c r="F97" s="317" t="s">
        <v>682</v>
      </c>
      <c r="G97" s="55">
        <v>1260368.77</v>
      </c>
      <c r="H97" s="318"/>
      <c r="I97" s="55">
        <f t="shared" ref="I97:I98" si="19">J97</f>
        <v>0</v>
      </c>
      <c r="J97" s="55"/>
      <c r="K97" s="319">
        <f t="shared" si="2"/>
        <v>1260368.77</v>
      </c>
      <c r="L97" s="319"/>
      <c r="M97" s="293" t="s">
        <v>309</v>
      </c>
      <c r="N97" s="320">
        <f t="shared" si="1"/>
        <v>0</v>
      </c>
      <c r="O97" s="320">
        <v>0</v>
      </c>
      <c r="P97" s="321" t="s">
        <v>545</v>
      </c>
      <c r="Q97" s="58">
        <v>1</v>
      </c>
      <c r="R97" s="322" t="s">
        <v>310</v>
      </c>
      <c r="S97" s="290"/>
      <c r="T97" s="290"/>
      <c r="U97" s="290"/>
    </row>
    <row r="98" spans="1:21" s="28" customFormat="1" ht="89.1" customHeight="1">
      <c r="A98" s="53" t="s">
        <v>67</v>
      </c>
      <c r="B98" s="289">
        <v>44057</v>
      </c>
      <c r="C98" s="290" t="s">
        <v>683</v>
      </c>
      <c r="D98" s="54"/>
      <c r="E98" s="316" t="s">
        <v>684</v>
      </c>
      <c r="F98" s="317" t="s">
        <v>685</v>
      </c>
      <c r="G98" s="55">
        <v>1260368.77</v>
      </c>
      <c r="H98" s="318"/>
      <c r="I98" s="55">
        <f t="shared" si="19"/>
        <v>0</v>
      </c>
      <c r="J98" s="55"/>
      <c r="K98" s="319">
        <f t="shared" si="2"/>
        <v>1260368.77</v>
      </c>
      <c r="L98" s="319"/>
      <c r="M98" s="293" t="s">
        <v>309</v>
      </c>
      <c r="N98" s="320">
        <f t="shared" si="1"/>
        <v>0</v>
      </c>
      <c r="O98" s="320">
        <v>0</v>
      </c>
      <c r="P98" s="321" t="s">
        <v>545</v>
      </c>
      <c r="Q98" s="58">
        <v>1</v>
      </c>
      <c r="R98" s="322" t="s">
        <v>310</v>
      </c>
      <c r="S98" s="290"/>
      <c r="T98" s="290"/>
      <c r="U98" s="290"/>
    </row>
    <row r="99" spans="1:21" s="28" customFormat="1" ht="89.1" customHeight="1">
      <c r="A99" s="53" t="s">
        <v>67</v>
      </c>
      <c r="B99" s="289">
        <v>44057</v>
      </c>
      <c r="C99" s="290" t="s">
        <v>686</v>
      </c>
      <c r="D99" s="54"/>
      <c r="E99" s="316" t="s">
        <v>687</v>
      </c>
      <c r="F99" s="317" t="s">
        <v>688</v>
      </c>
      <c r="G99" s="55">
        <v>1304665.77</v>
      </c>
      <c r="H99" s="318"/>
      <c r="I99" s="55">
        <v>384650.33</v>
      </c>
      <c r="J99" s="55"/>
      <c r="K99" s="319">
        <f t="shared" si="2"/>
        <v>920015.44</v>
      </c>
      <c r="L99" s="319"/>
      <c r="M99" s="293" t="s">
        <v>309</v>
      </c>
      <c r="N99" s="320">
        <f t="shared" si="1"/>
        <v>0.29482672025648377</v>
      </c>
      <c r="O99" s="320">
        <v>0.28000000000000003</v>
      </c>
      <c r="P99" s="321" t="s">
        <v>545</v>
      </c>
      <c r="Q99" s="58">
        <v>1</v>
      </c>
      <c r="R99" s="322" t="s">
        <v>673</v>
      </c>
      <c r="S99" s="290" t="s">
        <v>821</v>
      </c>
      <c r="T99" s="290" t="s">
        <v>847</v>
      </c>
      <c r="U99" s="290" t="s">
        <v>848</v>
      </c>
    </row>
    <row r="100" spans="1:21" s="28" customFormat="1" ht="89.1" customHeight="1">
      <c r="A100" s="53" t="s">
        <v>67</v>
      </c>
      <c r="B100" s="289">
        <v>44057</v>
      </c>
      <c r="C100" s="290" t="s">
        <v>689</v>
      </c>
      <c r="D100" s="54"/>
      <c r="E100" s="316" t="s">
        <v>690</v>
      </c>
      <c r="F100" s="317" t="s">
        <v>691</v>
      </c>
      <c r="G100" s="55">
        <v>1027423.44</v>
      </c>
      <c r="H100" s="318"/>
      <c r="I100" s="55">
        <v>302836.09999999998</v>
      </c>
      <c r="J100" s="55"/>
      <c r="K100" s="319">
        <f t="shared" si="2"/>
        <v>724587.34</v>
      </c>
      <c r="L100" s="319"/>
      <c r="M100" s="293" t="s">
        <v>309</v>
      </c>
      <c r="N100" s="320">
        <f t="shared" si="1"/>
        <v>0.29475295988964395</v>
      </c>
      <c r="O100" s="320">
        <v>0.2</v>
      </c>
      <c r="P100" s="321" t="s">
        <v>545</v>
      </c>
      <c r="Q100" s="58">
        <v>1</v>
      </c>
      <c r="R100" s="322" t="s">
        <v>692</v>
      </c>
      <c r="S100" s="290" t="s">
        <v>821</v>
      </c>
      <c r="T100" s="290" t="s">
        <v>197</v>
      </c>
      <c r="U100" s="290" t="s">
        <v>849</v>
      </c>
    </row>
    <row r="101" spans="1:21" s="28" customFormat="1" ht="89.1" customHeight="1">
      <c r="A101" s="53" t="s">
        <v>67</v>
      </c>
      <c r="B101" s="289">
        <v>44057</v>
      </c>
      <c r="C101" s="290" t="s">
        <v>693</v>
      </c>
      <c r="D101" s="54"/>
      <c r="E101" s="316" t="s">
        <v>694</v>
      </c>
      <c r="F101" s="317" t="s">
        <v>695</v>
      </c>
      <c r="G101" s="55">
        <v>1285260.27</v>
      </c>
      <c r="H101" s="318"/>
      <c r="I101" s="55">
        <v>378177.97</v>
      </c>
      <c r="J101" s="55"/>
      <c r="K101" s="319">
        <f t="shared" si="2"/>
        <v>907082.3</v>
      </c>
      <c r="L101" s="319"/>
      <c r="M101" s="293" t="s">
        <v>309</v>
      </c>
      <c r="N101" s="320">
        <f t="shared" si="1"/>
        <v>0.29424232494170227</v>
      </c>
      <c r="O101" s="320">
        <v>0.14000000000000001</v>
      </c>
      <c r="P101" s="321" t="s">
        <v>545</v>
      </c>
      <c r="Q101" s="58">
        <v>1</v>
      </c>
      <c r="R101" s="322" t="s">
        <v>673</v>
      </c>
      <c r="S101" s="290" t="s">
        <v>821</v>
      </c>
      <c r="T101" s="290" t="s">
        <v>850</v>
      </c>
      <c r="U101" s="290" t="s">
        <v>851</v>
      </c>
    </row>
    <row r="102" spans="1:21" s="28" customFormat="1" ht="89.1" customHeight="1">
      <c r="A102" s="53" t="s">
        <v>67</v>
      </c>
      <c r="B102" s="289">
        <v>44057</v>
      </c>
      <c r="C102" s="290" t="s">
        <v>696</v>
      </c>
      <c r="D102" s="54"/>
      <c r="E102" s="316" t="s">
        <v>697</v>
      </c>
      <c r="F102" s="317" t="s">
        <v>698</v>
      </c>
      <c r="G102" s="55">
        <v>1209483.56</v>
      </c>
      <c r="H102" s="318"/>
      <c r="I102" s="55">
        <v>355462.14</v>
      </c>
      <c r="J102" s="55"/>
      <c r="K102" s="319">
        <f t="shared" si="2"/>
        <v>854021.42</v>
      </c>
      <c r="L102" s="319"/>
      <c r="M102" s="293" t="s">
        <v>309</v>
      </c>
      <c r="N102" s="320">
        <f t="shared" si="1"/>
        <v>0.2938958012790186</v>
      </c>
      <c r="O102" s="320">
        <v>0.22</v>
      </c>
      <c r="P102" s="321" t="s">
        <v>545</v>
      </c>
      <c r="Q102" s="58">
        <v>1</v>
      </c>
      <c r="R102" s="322" t="s">
        <v>673</v>
      </c>
      <c r="S102" s="290" t="s">
        <v>821</v>
      </c>
      <c r="T102" s="290" t="s">
        <v>852</v>
      </c>
      <c r="U102" s="290" t="s">
        <v>853</v>
      </c>
    </row>
    <row r="103" spans="1:21" s="28" customFormat="1" ht="89.1" customHeight="1">
      <c r="A103" s="53" t="s">
        <v>67</v>
      </c>
      <c r="B103" s="289">
        <v>44057</v>
      </c>
      <c r="C103" s="290" t="s">
        <v>699</v>
      </c>
      <c r="D103" s="54"/>
      <c r="E103" s="316" t="s">
        <v>700</v>
      </c>
      <c r="F103" s="317" t="s">
        <v>701</v>
      </c>
      <c r="G103" s="55">
        <v>1282680.3799999999</v>
      </c>
      <c r="H103" s="318"/>
      <c r="I103" s="55">
        <f t="shared" ref="I103:I123" si="20">J103</f>
        <v>0</v>
      </c>
      <c r="J103" s="55"/>
      <c r="K103" s="319">
        <f t="shared" si="2"/>
        <v>1282680.3799999999</v>
      </c>
      <c r="L103" s="319"/>
      <c r="M103" s="293" t="s">
        <v>309</v>
      </c>
      <c r="N103" s="320">
        <f t="shared" si="1"/>
        <v>0</v>
      </c>
      <c r="O103" s="320">
        <v>7.0000000000000007E-2</v>
      </c>
      <c r="P103" s="321" t="s">
        <v>545</v>
      </c>
      <c r="Q103" s="58">
        <v>1</v>
      </c>
      <c r="R103" s="322" t="s">
        <v>600</v>
      </c>
      <c r="S103" s="290"/>
      <c r="T103" s="290"/>
      <c r="U103" s="290"/>
    </row>
    <row r="104" spans="1:21" s="28" customFormat="1" ht="89.1" customHeight="1">
      <c r="A104" s="53" t="s">
        <v>67</v>
      </c>
      <c r="B104" s="289">
        <v>44057</v>
      </c>
      <c r="C104" s="290" t="s">
        <v>702</v>
      </c>
      <c r="D104" s="54"/>
      <c r="E104" s="316" t="s">
        <v>703</v>
      </c>
      <c r="F104" s="317" t="s">
        <v>704</v>
      </c>
      <c r="G104" s="55">
        <v>1290299.83</v>
      </c>
      <c r="H104" s="318"/>
      <c r="I104" s="55">
        <f t="shared" si="20"/>
        <v>0</v>
      </c>
      <c r="J104" s="55"/>
      <c r="K104" s="319">
        <f t="shared" si="2"/>
        <v>1290299.83</v>
      </c>
      <c r="L104" s="319"/>
      <c r="M104" s="293" t="s">
        <v>309</v>
      </c>
      <c r="N104" s="320">
        <f t="shared" si="1"/>
        <v>0</v>
      </c>
      <c r="O104" s="320">
        <v>0</v>
      </c>
      <c r="P104" s="321" t="s">
        <v>545</v>
      </c>
      <c r="Q104" s="58">
        <v>1</v>
      </c>
      <c r="R104" s="322" t="s">
        <v>600</v>
      </c>
      <c r="S104" s="290"/>
      <c r="T104" s="290"/>
      <c r="U104" s="290"/>
    </row>
    <row r="105" spans="1:21" s="28" customFormat="1" ht="89.1" customHeight="1">
      <c r="A105" s="53" t="s">
        <v>67</v>
      </c>
      <c r="B105" s="289">
        <v>44057</v>
      </c>
      <c r="C105" s="290" t="s">
        <v>705</v>
      </c>
      <c r="D105" s="54"/>
      <c r="E105" s="316" t="s">
        <v>706</v>
      </c>
      <c r="F105" s="317" t="s">
        <v>707</v>
      </c>
      <c r="G105" s="55">
        <v>2500000</v>
      </c>
      <c r="H105" s="318"/>
      <c r="I105" s="55">
        <f t="shared" si="20"/>
        <v>0</v>
      </c>
      <c r="J105" s="55"/>
      <c r="K105" s="319">
        <f t="shared" si="2"/>
        <v>2500000</v>
      </c>
      <c r="L105" s="319"/>
      <c r="M105" s="293" t="s">
        <v>309</v>
      </c>
      <c r="N105" s="320">
        <f t="shared" si="1"/>
        <v>0</v>
      </c>
      <c r="O105" s="320">
        <v>0</v>
      </c>
      <c r="P105" s="321" t="s">
        <v>545</v>
      </c>
      <c r="Q105" s="58">
        <v>1</v>
      </c>
      <c r="R105" s="322" t="s">
        <v>313</v>
      </c>
      <c r="S105" s="290"/>
      <c r="T105" s="290"/>
      <c r="U105" s="290"/>
    </row>
    <row r="106" spans="1:21" s="28" customFormat="1" ht="89.1" customHeight="1">
      <c r="A106" s="53" t="s">
        <v>67</v>
      </c>
      <c r="B106" s="289">
        <v>44068</v>
      </c>
      <c r="C106" s="290" t="s">
        <v>708</v>
      </c>
      <c r="D106" s="54"/>
      <c r="E106" s="316" t="s">
        <v>709</v>
      </c>
      <c r="F106" s="317" t="s">
        <v>710</v>
      </c>
      <c r="G106" s="55">
        <v>1130748.72</v>
      </c>
      <c r="H106" s="318"/>
      <c r="I106" s="55">
        <f t="shared" si="20"/>
        <v>0</v>
      </c>
      <c r="J106" s="55"/>
      <c r="K106" s="319">
        <f t="shared" si="2"/>
        <v>1130748.72</v>
      </c>
      <c r="L106" s="319"/>
      <c r="M106" s="293" t="s">
        <v>309</v>
      </c>
      <c r="N106" s="320">
        <f t="shared" si="1"/>
        <v>0</v>
      </c>
      <c r="O106" s="320">
        <v>0</v>
      </c>
      <c r="P106" s="321" t="s">
        <v>545</v>
      </c>
      <c r="Q106" s="58">
        <v>1</v>
      </c>
      <c r="R106" s="322" t="s">
        <v>316</v>
      </c>
      <c r="S106" s="290"/>
      <c r="T106" s="290"/>
      <c r="U106" s="290"/>
    </row>
    <row r="107" spans="1:21" s="28" customFormat="1" ht="89.1" customHeight="1">
      <c r="A107" s="53" t="s">
        <v>67</v>
      </c>
      <c r="B107" s="289">
        <v>44069</v>
      </c>
      <c r="C107" s="290" t="s">
        <v>711</v>
      </c>
      <c r="D107" s="54"/>
      <c r="E107" s="316" t="s">
        <v>712</v>
      </c>
      <c r="F107" s="317" t="s">
        <v>713</v>
      </c>
      <c r="G107" s="55">
        <v>2500000</v>
      </c>
      <c r="H107" s="318"/>
      <c r="I107" s="55">
        <f t="shared" si="20"/>
        <v>0</v>
      </c>
      <c r="J107" s="55"/>
      <c r="K107" s="319">
        <f t="shared" si="2"/>
        <v>2500000</v>
      </c>
      <c r="L107" s="319"/>
      <c r="M107" s="293" t="s">
        <v>309</v>
      </c>
      <c r="N107" s="320">
        <f t="shared" si="1"/>
        <v>0</v>
      </c>
      <c r="O107" s="320">
        <v>0</v>
      </c>
      <c r="P107" s="321" t="s">
        <v>141</v>
      </c>
      <c r="Q107" s="58">
        <v>3900</v>
      </c>
      <c r="R107" s="322" t="s">
        <v>714</v>
      </c>
      <c r="S107" s="290"/>
      <c r="T107" s="290"/>
      <c r="U107" s="290"/>
    </row>
    <row r="108" spans="1:21" s="28" customFormat="1" ht="89.1" customHeight="1">
      <c r="A108" s="53" t="s">
        <v>67</v>
      </c>
      <c r="B108" s="289">
        <v>44069</v>
      </c>
      <c r="C108" s="290" t="s">
        <v>715</v>
      </c>
      <c r="D108" s="54"/>
      <c r="E108" s="316" t="s">
        <v>716</v>
      </c>
      <c r="F108" s="317" t="s">
        <v>717</v>
      </c>
      <c r="G108" s="55">
        <v>2500000</v>
      </c>
      <c r="H108" s="318"/>
      <c r="I108" s="55">
        <f t="shared" si="20"/>
        <v>0</v>
      </c>
      <c r="J108" s="55"/>
      <c r="K108" s="319">
        <f t="shared" si="2"/>
        <v>2500000</v>
      </c>
      <c r="L108" s="319"/>
      <c r="M108" s="293" t="s">
        <v>309</v>
      </c>
      <c r="N108" s="320">
        <f t="shared" si="1"/>
        <v>0</v>
      </c>
      <c r="O108" s="320">
        <v>0</v>
      </c>
      <c r="P108" s="321" t="s">
        <v>141</v>
      </c>
      <c r="Q108" s="58">
        <v>3900</v>
      </c>
      <c r="R108" s="322" t="s">
        <v>714</v>
      </c>
      <c r="S108" s="290"/>
      <c r="T108" s="290"/>
      <c r="U108" s="290"/>
    </row>
    <row r="109" spans="1:21" s="28" customFormat="1" ht="89.1" customHeight="1">
      <c r="A109" s="53" t="s">
        <v>67</v>
      </c>
      <c r="B109" s="289">
        <v>44070</v>
      </c>
      <c r="C109" s="290" t="s">
        <v>718</v>
      </c>
      <c r="D109" s="54"/>
      <c r="E109" s="316" t="s">
        <v>719</v>
      </c>
      <c r="F109" s="317" t="s">
        <v>720</v>
      </c>
      <c r="G109" s="55">
        <v>1763014.15</v>
      </c>
      <c r="H109" s="318"/>
      <c r="I109" s="55">
        <f t="shared" si="20"/>
        <v>0</v>
      </c>
      <c r="J109" s="55"/>
      <c r="K109" s="319">
        <f t="shared" si="2"/>
        <v>1763014.15</v>
      </c>
      <c r="L109" s="319"/>
      <c r="M109" s="293" t="s">
        <v>309</v>
      </c>
      <c r="N109" s="320">
        <f t="shared" si="1"/>
        <v>0</v>
      </c>
      <c r="O109" s="320">
        <v>0.05</v>
      </c>
      <c r="P109" s="321" t="s">
        <v>545</v>
      </c>
      <c r="Q109" s="58">
        <v>1</v>
      </c>
      <c r="R109" s="322" t="s">
        <v>316</v>
      </c>
      <c r="S109" s="290"/>
      <c r="T109" s="290"/>
      <c r="U109" s="290"/>
    </row>
    <row r="110" spans="1:21" s="28" customFormat="1" ht="89.1" customHeight="1">
      <c r="A110" s="53" t="s">
        <v>67</v>
      </c>
      <c r="B110" s="289">
        <v>44070</v>
      </c>
      <c r="C110" s="290" t="s">
        <v>721</v>
      </c>
      <c r="D110" s="54"/>
      <c r="E110" s="316" t="s">
        <v>722</v>
      </c>
      <c r="F110" s="317" t="s">
        <v>723</v>
      </c>
      <c r="G110" s="55">
        <v>666204.94999999995</v>
      </c>
      <c r="H110" s="318"/>
      <c r="I110" s="55">
        <f t="shared" si="20"/>
        <v>0</v>
      </c>
      <c r="J110" s="55"/>
      <c r="K110" s="319">
        <f t="shared" si="2"/>
        <v>666204.94999999995</v>
      </c>
      <c r="L110" s="319"/>
      <c r="M110" s="293" t="s">
        <v>309</v>
      </c>
      <c r="N110" s="320">
        <f t="shared" si="1"/>
        <v>0</v>
      </c>
      <c r="O110" s="320">
        <v>0</v>
      </c>
      <c r="P110" s="321" t="s">
        <v>545</v>
      </c>
      <c r="Q110" s="58">
        <v>1</v>
      </c>
      <c r="R110" s="322" t="s">
        <v>313</v>
      </c>
      <c r="S110" s="290"/>
      <c r="T110" s="290"/>
      <c r="U110" s="290"/>
    </row>
    <row r="111" spans="1:21" s="28" customFormat="1" ht="89.1" customHeight="1">
      <c r="A111" s="53" t="s">
        <v>67</v>
      </c>
      <c r="B111" s="289">
        <v>44070</v>
      </c>
      <c r="C111" s="290" t="s">
        <v>724</v>
      </c>
      <c r="D111" s="54"/>
      <c r="E111" s="316" t="s">
        <v>725</v>
      </c>
      <c r="F111" s="317" t="s">
        <v>726</v>
      </c>
      <c r="G111" s="55">
        <v>1291738.43</v>
      </c>
      <c r="H111" s="318"/>
      <c r="I111" s="55">
        <f t="shared" si="20"/>
        <v>0</v>
      </c>
      <c r="J111" s="55"/>
      <c r="K111" s="319">
        <f t="shared" si="2"/>
        <v>1291738.43</v>
      </c>
      <c r="L111" s="319"/>
      <c r="M111" s="293" t="s">
        <v>309</v>
      </c>
      <c r="N111" s="320">
        <f t="shared" si="1"/>
        <v>0</v>
      </c>
      <c r="O111" s="320">
        <v>0</v>
      </c>
      <c r="P111" s="321" t="s">
        <v>545</v>
      </c>
      <c r="Q111" s="58">
        <v>1</v>
      </c>
      <c r="R111" s="322" t="s">
        <v>316</v>
      </c>
      <c r="S111" s="290"/>
      <c r="T111" s="290"/>
      <c r="U111" s="290"/>
    </row>
    <row r="112" spans="1:21" s="28" customFormat="1" ht="89.1" customHeight="1">
      <c r="A112" s="53" t="s">
        <v>67</v>
      </c>
      <c r="B112" s="289">
        <v>44085</v>
      </c>
      <c r="C112" s="290" t="s">
        <v>854</v>
      </c>
      <c r="D112" s="54"/>
      <c r="E112" s="316" t="s">
        <v>855</v>
      </c>
      <c r="F112" s="317" t="s">
        <v>856</v>
      </c>
      <c r="G112" s="55">
        <v>920025.2</v>
      </c>
      <c r="H112" s="318"/>
      <c r="I112" s="55">
        <f t="shared" si="20"/>
        <v>0</v>
      </c>
      <c r="J112" s="55"/>
      <c r="K112" s="319">
        <f t="shared" si="2"/>
        <v>920025.2</v>
      </c>
      <c r="L112" s="319"/>
      <c r="M112" s="293" t="s">
        <v>309</v>
      </c>
      <c r="N112" s="320">
        <f t="shared" si="1"/>
        <v>0</v>
      </c>
      <c r="O112" s="320">
        <v>0</v>
      </c>
      <c r="P112" s="321" t="s">
        <v>545</v>
      </c>
      <c r="Q112" s="58"/>
      <c r="R112" s="322"/>
      <c r="S112" s="290"/>
      <c r="T112" s="290"/>
      <c r="U112" s="290"/>
    </row>
    <row r="113" spans="1:21" s="28" customFormat="1" ht="89.1" customHeight="1">
      <c r="A113" s="53" t="s">
        <v>67</v>
      </c>
      <c r="B113" s="289">
        <v>44085</v>
      </c>
      <c r="C113" s="290" t="s">
        <v>857</v>
      </c>
      <c r="D113" s="54"/>
      <c r="E113" s="316" t="s">
        <v>858</v>
      </c>
      <c r="F113" s="317" t="s">
        <v>859</v>
      </c>
      <c r="G113" s="55">
        <v>2063065.22</v>
      </c>
      <c r="H113" s="318"/>
      <c r="I113" s="55">
        <f t="shared" si="20"/>
        <v>0</v>
      </c>
      <c r="J113" s="55"/>
      <c r="K113" s="319">
        <f t="shared" si="2"/>
        <v>2063065.22</v>
      </c>
      <c r="L113" s="319"/>
      <c r="M113" s="293" t="s">
        <v>309</v>
      </c>
      <c r="N113" s="320">
        <f t="shared" si="1"/>
        <v>0</v>
      </c>
      <c r="O113" s="320">
        <v>0</v>
      </c>
      <c r="P113" s="321" t="s">
        <v>545</v>
      </c>
      <c r="Q113" s="58">
        <v>1</v>
      </c>
      <c r="R113" s="322" t="s">
        <v>596</v>
      </c>
      <c r="S113" s="290"/>
      <c r="T113" s="290"/>
      <c r="U113" s="290"/>
    </row>
    <row r="114" spans="1:21" s="28" customFormat="1" ht="89.1" customHeight="1">
      <c r="A114" s="53" t="s">
        <v>67</v>
      </c>
      <c r="B114" s="289">
        <v>44085</v>
      </c>
      <c r="C114" s="290" t="s">
        <v>860</v>
      </c>
      <c r="D114" s="54"/>
      <c r="E114" s="316" t="s">
        <v>861</v>
      </c>
      <c r="F114" s="317" t="s">
        <v>862</v>
      </c>
      <c r="G114" s="55">
        <v>2148240.46</v>
      </c>
      <c r="H114" s="318"/>
      <c r="I114" s="55">
        <f t="shared" si="20"/>
        <v>0</v>
      </c>
      <c r="J114" s="55"/>
      <c r="K114" s="319">
        <f t="shared" si="2"/>
        <v>2148240.46</v>
      </c>
      <c r="L114" s="319"/>
      <c r="M114" s="293" t="s">
        <v>309</v>
      </c>
      <c r="N114" s="320">
        <f t="shared" si="1"/>
        <v>0</v>
      </c>
      <c r="O114" s="320">
        <v>0</v>
      </c>
      <c r="P114" s="321" t="s">
        <v>545</v>
      </c>
      <c r="Q114" s="58">
        <v>1</v>
      </c>
      <c r="R114" s="322" t="s">
        <v>313</v>
      </c>
      <c r="S114" s="290"/>
      <c r="T114" s="290"/>
      <c r="U114" s="290"/>
    </row>
    <row r="115" spans="1:21" s="28" customFormat="1" ht="89.1" customHeight="1">
      <c r="A115" s="53" t="s">
        <v>67</v>
      </c>
      <c r="B115" s="289">
        <v>44085</v>
      </c>
      <c r="C115" s="290" t="s">
        <v>863</v>
      </c>
      <c r="D115" s="54"/>
      <c r="E115" s="316" t="s">
        <v>864</v>
      </c>
      <c r="F115" s="317" t="s">
        <v>865</v>
      </c>
      <c r="G115" s="55">
        <v>1355056.38</v>
      </c>
      <c r="H115" s="318"/>
      <c r="I115" s="55">
        <f t="shared" si="20"/>
        <v>0</v>
      </c>
      <c r="J115" s="55"/>
      <c r="K115" s="319">
        <f t="shared" si="2"/>
        <v>1355056.38</v>
      </c>
      <c r="L115" s="319"/>
      <c r="M115" s="293" t="s">
        <v>309</v>
      </c>
      <c r="N115" s="320">
        <f t="shared" si="1"/>
        <v>0</v>
      </c>
      <c r="O115" s="320">
        <v>0</v>
      </c>
      <c r="P115" s="321" t="s">
        <v>545</v>
      </c>
      <c r="Q115" s="58">
        <v>1</v>
      </c>
      <c r="R115" s="322" t="s">
        <v>596</v>
      </c>
      <c r="S115" s="290"/>
      <c r="T115" s="290"/>
      <c r="U115" s="290"/>
    </row>
    <row r="116" spans="1:21" s="28" customFormat="1" ht="89.1" customHeight="1">
      <c r="A116" s="53" t="s">
        <v>67</v>
      </c>
      <c r="B116" s="289">
        <v>44085</v>
      </c>
      <c r="C116" s="290" t="s">
        <v>866</v>
      </c>
      <c r="D116" s="54"/>
      <c r="E116" s="316" t="s">
        <v>867</v>
      </c>
      <c r="F116" s="317" t="s">
        <v>868</v>
      </c>
      <c r="G116" s="55">
        <v>1034645.48</v>
      </c>
      <c r="H116" s="318"/>
      <c r="I116" s="55">
        <f t="shared" si="20"/>
        <v>0</v>
      </c>
      <c r="J116" s="55"/>
      <c r="K116" s="319">
        <f t="shared" si="2"/>
        <v>1034645.48</v>
      </c>
      <c r="L116" s="319"/>
      <c r="M116" s="293" t="s">
        <v>309</v>
      </c>
      <c r="N116" s="320">
        <f t="shared" si="1"/>
        <v>0</v>
      </c>
      <c r="O116" s="320">
        <v>0</v>
      </c>
      <c r="P116" s="321" t="s">
        <v>545</v>
      </c>
      <c r="Q116" s="58">
        <v>1</v>
      </c>
      <c r="R116" s="322" t="s">
        <v>316</v>
      </c>
      <c r="S116" s="290"/>
      <c r="T116" s="290"/>
      <c r="U116" s="290"/>
    </row>
    <row r="117" spans="1:21" s="28" customFormat="1" ht="89.1" customHeight="1">
      <c r="A117" s="53" t="s">
        <v>371</v>
      </c>
      <c r="B117" s="289">
        <v>44097</v>
      </c>
      <c r="C117" s="290" t="s">
        <v>869</v>
      </c>
      <c r="D117" s="54"/>
      <c r="E117" s="316" t="s">
        <v>870</v>
      </c>
      <c r="F117" s="317" t="s">
        <v>871</v>
      </c>
      <c r="G117" s="55">
        <v>2820000</v>
      </c>
      <c r="H117" s="318"/>
      <c r="I117" s="55">
        <f t="shared" si="20"/>
        <v>0</v>
      </c>
      <c r="J117" s="55"/>
      <c r="K117" s="319">
        <f t="shared" si="2"/>
        <v>2820000</v>
      </c>
      <c r="L117" s="319"/>
      <c r="M117" s="293" t="s">
        <v>309</v>
      </c>
      <c r="N117" s="320">
        <f t="shared" si="1"/>
        <v>0</v>
      </c>
      <c r="O117" s="320">
        <v>0</v>
      </c>
      <c r="P117" s="321" t="s">
        <v>545</v>
      </c>
      <c r="Q117" s="58"/>
      <c r="R117" s="322"/>
      <c r="S117" s="290"/>
      <c r="T117" s="290"/>
      <c r="U117" s="290"/>
    </row>
    <row r="118" spans="1:21" s="28" customFormat="1" ht="89.1" customHeight="1">
      <c r="A118" s="53" t="s">
        <v>67</v>
      </c>
      <c r="B118" s="289">
        <v>44092</v>
      </c>
      <c r="C118" s="290" t="s">
        <v>872</v>
      </c>
      <c r="D118" s="54"/>
      <c r="E118" s="316" t="s">
        <v>873</v>
      </c>
      <c r="F118" s="317" t="s">
        <v>874</v>
      </c>
      <c r="G118" s="55">
        <v>2500000</v>
      </c>
      <c r="H118" s="318"/>
      <c r="I118" s="55">
        <f t="shared" si="20"/>
        <v>0</v>
      </c>
      <c r="J118" s="55"/>
      <c r="K118" s="319">
        <f t="shared" si="2"/>
        <v>2500000</v>
      </c>
      <c r="L118" s="319"/>
      <c r="M118" s="293" t="s">
        <v>309</v>
      </c>
      <c r="N118" s="320">
        <f t="shared" si="1"/>
        <v>0</v>
      </c>
      <c r="O118" s="320">
        <v>0</v>
      </c>
      <c r="P118" s="321" t="s">
        <v>545</v>
      </c>
      <c r="Q118" s="58"/>
      <c r="R118" s="322"/>
      <c r="S118" s="290"/>
      <c r="T118" s="290"/>
      <c r="U118" s="290"/>
    </row>
    <row r="119" spans="1:21" s="28" customFormat="1" ht="89.1" customHeight="1">
      <c r="A119" s="53" t="s">
        <v>67</v>
      </c>
      <c r="B119" s="289">
        <v>44089</v>
      </c>
      <c r="C119" s="290" t="s">
        <v>875</v>
      </c>
      <c r="D119" s="54"/>
      <c r="E119" s="316" t="s">
        <v>876</v>
      </c>
      <c r="F119" s="317" t="s">
        <v>877</v>
      </c>
      <c r="G119" s="55">
        <v>4319309.4000000004</v>
      </c>
      <c r="H119" s="318"/>
      <c r="I119" s="55">
        <f t="shared" si="20"/>
        <v>0</v>
      </c>
      <c r="J119" s="55"/>
      <c r="K119" s="319">
        <f t="shared" si="2"/>
        <v>4319309.4000000004</v>
      </c>
      <c r="L119" s="319"/>
      <c r="M119" s="293" t="s">
        <v>309</v>
      </c>
      <c r="N119" s="320">
        <f t="shared" si="1"/>
        <v>0</v>
      </c>
      <c r="O119" s="320">
        <v>0</v>
      </c>
      <c r="P119" s="321" t="s">
        <v>545</v>
      </c>
      <c r="Q119" s="58">
        <v>1</v>
      </c>
      <c r="R119" s="322" t="s">
        <v>316</v>
      </c>
      <c r="S119" s="290"/>
      <c r="T119" s="290"/>
      <c r="U119" s="290"/>
    </row>
    <row r="120" spans="1:21" s="28" customFormat="1" ht="89.1" customHeight="1">
      <c r="A120" s="53" t="s">
        <v>67</v>
      </c>
      <c r="B120" s="289">
        <v>44092</v>
      </c>
      <c r="C120" s="290" t="s">
        <v>878</v>
      </c>
      <c r="D120" s="54"/>
      <c r="E120" s="316" t="s">
        <v>879</v>
      </c>
      <c r="F120" s="317" t="s">
        <v>880</v>
      </c>
      <c r="G120" s="55">
        <v>2313486.1800000002</v>
      </c>
      <c r="H120" s="318"/>
      <c r="I120" s="55">
        <f t="shared" si="20"/>
        <v>0</v>
      </c>
      <c r="J120" s="55"/>
      <c r="K120" s="319">
        <f t="shared" si="2"/>
        <v>2313486.1800000002</v>
      </c>
      <c r="L120" s="319"/>
      <c r="M120" s="293" t="s">
        <v>309</v>
      </c>
      <c r="N120" s="320">
        <f t="shared" si="1"/>
        <v>0</v>
      </c>
      <c r="O120" s="320">
        <v>0</v>
      </c>
      <c r="P120" s="321" t="s">
        <v>545</v>
      </c>
      <c r="Q120" s="58">
        <v>1</v>
      </c>
      <c r="R120" s="322" t="s">
        <v>313</v>
      </c>
      <c r="S120" s="290"/>
      <c r="T120" s="290"/>
      <c r="U120" s="290"/>
    </row>
    <row r="121" spans="1:21" s="28" customFormat="1" ht="89.1" customHeight="1">
      <c r="A121" s="53" t="s">
        <v>67</v>
      </c>
      <c r="B121" s="289">
        <v>44089</v>
      </c>
      <c r="C121" s="290" t="s">
        <v>881</v>
      </c>
      <c r="D121" s="54"/>
      <c r="E121" s="316" t="s">
        <v>882</v>
      </c>
      <c r="F121" s="317" t="s">
        <v>883</v>
      </c>
      <c r="G121" s="55">
        <v>2086536.37</v>
      </c>
      <c r="H121" s="318"/>
      <c r="I121" s="55">
        <f t="shared" si="20"/>
        <v>0</v>
      </c>
      <c r="J121" s="55"/>
      <c r="K121" s="319">
        <f t="shared" si="2"/>
        <v>2086536.37</v>
      </c>
      <c r="L121" s="319"/>
      <c r="M121" s="293" t="s">
        <v>309</v>
      </c>
      <c r="N121" s="320">
        <f t="shared" si="1"/>
        <v>0</v>
      </c>
      <c r="O121" s="320">
        <v>0</v>
      </c>
      <c r="P121" s="321" t="s">
        <v>545</v>
      </c>
      <c r="Q121" s="58">
        <v>1</v>
      </c>
      <c r="R121" s="322" t="s">
        <v>313</v>
      </c>
      <c r="S121" s="290"/>
      <c r="T121" s="290"/>
      <c r="U121" s="290"/>
    </row>
    <row r="122" spans="1:21" s="28" customFormat="1" ht="89.1" customHeight="1">
      <c r="A122" s="53" t="s">
        <v>67</v>
      </c>
      <c r="B122" s="289">
        <v>44095</v>
      </c>
      <c r="C122" s="290" t="s">
        <v>884</v>
      </c>
      <c r="D122" s="54"/>
      <c r="E122" s="316" t="s">
        <v>885</v>
      </c>
      <c r="F122" s="317" t="s">
        <v>886</v>
      </c>
      <c r="G122" s="55">
        <v>2482598.5299999998</v>
      </c>
      <c r="H122" s="318"/>
      <c r="I122" s="55">
        <f t="shared" si="20"/>
        <v>0</v>
      </c>
      <c r="J122" s="55"/>
      <c r="K122" s="319">
        <f t="shared" si="2"/>
        <v>2482598.5299999998</v>
      </c>
      <c r="L122" s="319"/>
      <c r="M122" s="293" t="s">
        <v>309</v>
      </c>
      <c r="N122" s="320">
        <f t="shared" si="1"/>
        <v>0</v>
      </c>
      <c r="O122" s="320">
        <v>0</v>
      </c>
      <c r="P122" s="321" t="s">
        <v>545</v>
      </c>
      <c r="Q122" s="58"/>
      <c r="R122" s="322"/>
      <c r="S122" s="290"/>
      <c r="T122" s="290"/>
      <c r="U122" s="290"/>
    </row>
    <row r="123" spans="1:21" s="28" customFormat="1" ht="89.1" customHeight="1">
      <c r="A123" s="53" t="s">
        <v>67</v>
      </c>
      <c r="B123" s="289">
        <v>44095</v>
      </c>
      <c r="C123" s="290" t="s">
        <v>887</v>
      </c>
      <c r="D123" s="54"/>
      <c r="E123" s="316" t="s">
        <v>888</v>
      </c>
      <c r="F123" s="317" t="s">
        <v>889</v>
      </c>
      <c r="G123" s="55">
        <v>2482597.7200000002</v>
      </c>
      <c r="H123" s="318"/>
      <c r="I123" s="55">
        <f t="shared" si="20"/>
        <v>0</v>
      </c>
      <c r="J123" s="55"/>
      <c r="K123" s="319">
        <f t="shared" si="2"/>
        <v>2482597.7200000002</v>
      </c>
      <c r="L123" s="319"/>
      <c r="M123" s="293" t="s">
        <v>309</v>
      </c>
      <c r="N123" s="320">
        <f t="shared" si="1"/>
        <v>0</v>
      </c>
      <c r="O123" s="320">
        <v>0</v>
      </c>
      <c r="P123" s="321" t="s">
        <v>545</v>
      </c>
      <c r="Q123" s="58"/>
      <c r="R123" s="322"/>
      <c r="S123" s="290"/>
      <c r="T123" s="290"/>
      <c r="U123" s="290"/>
    </row>
    <row r="124" spans="1:21" s="28" customFormat="1" ht="89.1" customHeight="1">
      <c r="A124" s="53" t="s">
        <v>465</v>
      </c>
      <c r="B124" s="289">
        <v>44021</v>
      </c>
      <c r="C124" s="290" t="s">
        <v>466</v>
      </c>
      <c r="D124" s="54"/>
      <c r="E124" s="316" t="s">
        <v>467</v>
      </c>
      <c r="F124" s="317" t="s">
        <v>890</v>
      </c>
      <c r="G124" s="55">
        <v>4323600.16</v>
      </c>
      <c r="H124" s="318">
        <v>563689.34</v>
      </c>
      <c r="I124" s="55">
        <v>4312126</v>
      </c>
      <c r="J124" s="55">
        <v>0</v>
      </c>
      <c r="K124" s="319">
        <f t="shared" si="2"/>
        <v>11474.160000000149</v>
      </c>
      <c r="L124" s="319">
        <f t="shared" si="7"/>
        <v>4312126</v>
      </c>
      <c r="M124" s="293" t="s">
        <v>309</v>
      </c>
      <c r="N124" s="320">
        <f t="shared" si="1"/>
        <v>0.99734615607933552</v>
      </c>
      <c r="O124" s="320">
        <v>0</v>
      </c>
      <c r="P124" s="321" t="s">
        <v>468</v>
      </c>
      <c r="Q124" s="58">
        <v>430</v>
      </c>
      <c r="R124" s="322" t="s">
        <v>469</v>
      </c>
      <c r="S124" s="290" t="s">
        <v>891</v>
      </c>
      <c r="T124" s="290" t="s">
        <v>892</v>
      </c>
      <c r="U124" s="290" t="s">
        <v>893</v>
      </c>
    </row>
    <row r="125" spans="1:21" s="28" customFormat="1" ht="89.1" customHeight="1">
      <c r="A125" s="53" t="s">
        <v>371</v>
      </c>
      <c r="B125" s="289">
        <v>44025</v>
      </c>
      <c r="C125" s="290" t="s">
        <v>470</v>
      </c>
      <c r="D125" s="54"/>
      <c r="E125" s="316" t="s">
        <v>471</v>
      </c>
      <c r="F125" s="317" t="s">
        <v>472</v>
      </c>
      <c r="G125" s="55">
        <v>300000</v>
      </c>
      <c r="H125" s="318">
        <v>563689.34</v>
      </c>
      <c r="I125" s="55">
        <v>0</v>
      </c>
      <c r="J125" s="55">
        <v>0</v>
      </c>
      <c r="K125" s="319">
        <f t="shared" si="2"/>
        <v>300000</v>
      </c>
      <c r="L125" s="319">
        <f t="shared" si="7"/>
        <v>0</v>
      </c>
      <c r="M125" s="293"/>
      <c r="N125" s="320">
        <f t="shared" si="1"/>
        <v>0</v>
      </c>
      <c r="O125" s="320">
        <v>0</v>
      </c>
      <c r="P125" s="321" t="s">
        <v>473</v>
      </c>
      <c r="Q125" s="58">
        <v>1</v>
      </c>
      <c r="R125" s="322" t="s">
        <v>474</v>
      </c>
      <c r="S125" s="290"/>
      <c r="T125" s="290"/>
      <c r="U125" s="290"/>
    </row>
    <row r="126" spans="1:21" s="28" customFormat="1" ht="89.1" customHeight="1">
      <c r="A126" s="53" t="s">
        <v>371</v>
      </c>
      <c r="B126" s="289">
        <v>44025</v>
      </c>
      <c r="C126" s="290" t="s">
        <v>475</v>
      </c>
      <c r="D126" s="54"/>
      <c r="E126" s="316" t="s">
        <v>476</v>
      </c>
      <c r="F126" s="317" t="s">
        <v>477</v>
      </c>
      <c r="G126" s="55">
        <v>150000</v>
      </c>
      <c r="H126" s="318">
        <v>563689.34</v>
      </c>
      <c r="I126" s="55">
        <v>0</v>
      </c>
      <c r="J126" s="55">
        <v>0</v>
      </c>
      <c r="K126" s="319">
        <f t="shared" si="2"/>
        <v>150000</v>
      </c>
      <c r="L126" s="319">
        <f t="shared" ref="L126:L132" si="21">I126</f>
        <v>0</v>
      </c>
      <c r="M126" s="293"/>
      <c r="N126" s="320">
        <f t="shared" si="1"/>
        <v>0</v>
      </c>
      <c r="O126" s="320">
        <v>0</v>
      </c>
      <c r="P126" s="321" t="s">
        <v>473</v>
      </c>
      <c r="Q126" s="58">
        <v>1</v>
      </c>
      <c r="R126" s="322" t="s">
        <v>474</v>
      </c>
      <c r="S126" s="290"/>
      <c r="T126" s="290"/>
      <c r="U126" s="290"/>
    </row>
    <row r="127" spans="1:21" s="28" customFormat="1" ht="89.1" customHeight="1">
      <c r="A127" s="53" t="s">
        <v>371</v>
      </c>
      <c r="B127" s="289">
        <v>44025</v>
      </c>
      <c r="C127" s="290" t="s">
        <v>478</v>
      </c>
      <c r="D127" s="54"/>
      <c r="E127" s="316" t="s">
        <v>479</v>
      </c>
      <c r="F127" s="317" t="s">
        <v>480</v>
      </c>
      <c r="G127" s="55">
        <v>614580.96</v>
      </c>
      <c r="H127" s="318">
        <v>563689.34</v>
      </c>
      <c r="I127" s="55">
        <f>53816.58+114394.58</f>
        <v>168211.16</v>
      </c>
      <c r="J127" s="55">
        <v>0</v>
      </c>
      <c r="K127" s="319">
        <f t="shared" si="2"/>
        <v>446369.79999999993</v>
      </c>
      <c r="L127" s="319">
        <f t="shared" si="21"/>
        <v>168211.16</v>
      </c>
      <c r="M127" s="293"/>
      <c r="N127" s="320">
        <f t="shared" si="1"/>
        <v>0.27370057152437655</v>
      </c>
      <c r="O127" s="320">
        <v>0</v>
      </c>
      <c r="P127" s="321" t="s">
        <v>473</v>
      </c>
      <c r="Q127" s="58">
        <v>1</v>
      </c>
      <c r="R127" s="322" t="s">
        <v>474</v>
      </c>
      <c r="S127" s="290"/>
      <c r="T127" s="290"/>
      <c r="U127" s="290"/>
    </row>
    <row r="128" spans="1:21" s="28" customFormat="1" ht="89.1" customHeight="1">
      <c r="A128" s="53" t="s">
        <v>465</v>
      </c>
      <c r="B128" s="289">
        <v>44054</v>
      </c>
      <c r="C128" s="290" t="s">
        <v>727</v>
      </c>
      <c r="D128" s="54"/>
      <c r="E128" s="316" t="s">
        <v>728</v>
      </c>
      <c r="F128" s="317" t="s">
        <v>729</v>
      </c>
      <c r="G128" s="55">
        <v>300000</v>
      </c>
      <c r="H128" s="318">
        <v>563689.34</v>
      </c>
      <c r="I128" s="55">
        <v>41760</v>
      </c>
      <c r="J128" s="55">
        <v>0</v>
      </c>
      <c r="K128" s="319">
        <f t="shared" si="2"/>
        <v>258240</v>
      </c>
      <c r="L128" s="319">
        <f t="shared" si="21"/>
        <v>41760</v>
      </c>
      <c r="M128" s="293"/>
      <c r="N128" s="320">
        <f t="shared" si="1"/>
        <v>0.13919999999999999</v>
      </c>
      <c r="O128" s="320">
        <v>0</v>
      </c>
      <c r="P128" s="321" t="s">
        <v>730</v>
      </c>
      <c r="Q128" s="58">
        <v>1</v>
      </c>
      <c r="R128" s="322" t="s">
        <v>329</v>
      </c>
      <c r="S128" s="290"/>
      <c r="T128" s="290"/>
      <c r="U128" s="290"/>
    </row>
    <row r="129" spans="1:21" s="28" customFormat="1" ht="89.1" customHeight="1">
      <c r="A129" s="53" t="s">
        <v>67</v>
      </c>
      <c r="B129" s="289">
        <v>44063</v>
      </c>
      <c r="C129" s="290" t="s">
        <v>731</v>
      </c>
      <c r="D129" s="54"/>
      <c r="E129" s="316" t="s">
        <v>732</v>
      </c>
      <c r="F129" s="317" t="s">
        <v>733</v>
      </c>
      <c r="G129" s="55">
        <v>1060000</v>
      </c>
      <c r="H129" s="318">
        <v>563689.34</v>
      </c>
      <c r="I129" s="55">
        <v>0</v>
      </c>
      <c r="J129" s="55">
        <v>0</v>
      </c>
      <c r="K129" s="319">
        <f t="shared" si="2"/>
        <v>1060000</v>
      </c>
      <c r="L129" s="319">
        <f t="shared" si="21"/>
        <v>0</v>
      </c>
      <c r="M129" s="293"/>
      <c r="N129" s="320">
        <f t="shared" si="1"/>
        <v>0</v>
      </c>
      <c r="O129" s="320">
        <v>0</v>
      </c>
      <c r="P129" s="321" t="s">
        <v>730</v>
      </c>
      <c r="Q129" s="58">
        <v>1</v>
      </c>
      <c r="R129" s="322" t="s">
        <v>474</v>
      </c>
      <c r="S129" s="290"/>
      <c r="T129" s="290"/>
      <c r="U129" s="290"/>
    </row>
    <row r="130" spans="1:21" s="28" customFormat="1" ht="89.1" customHeight="1">
      <c r="A130" s="53" t="s">
        <v>67</v>
      </c>
      <c r="B130" s="289">
        <v>44063</v>
      </c>
      <c r="C130" s="290" t="s">
        <v>894</v>
      </c>
      <c r="D130" s="54"/>
      <c r="E130" s="316" t="s">
        <v>734</v>
      </c>
      <c r="F130" s="317" t="s">
        <v>895</v>
      </c>
      <c r="G130" s="55">
        <v>1860000</v>
      </c>
      <c r="H130" s="318">
        <v>563689.34</v>
      </c>
      <c r="I130" s="55">
        <v>0</v>
      </c>
      <c r="J130" s="55">
        <v>0</v>
      </c>
      <c r="K130" s="319">
        <f t="shared" si="2"/>
        <v>1860000</v>
      </c>
      <c r="L130" s="319">
        <f t="shared" si="21"/>
        <v>0</v>
      </c>
      <c r="M130" s="293"/>
      <c r="N130" s="320">
        <f t="shared" si="1"/>
        <v>0</v>
      </c>
      <c r="O130" s="320">
        <v>0</v>
      </c>
      <c r="P130" s="321" t="s">
        <v>730</v>
      </c>
      <c r="Q130" s="58">
        <v>1</v>
      </c>
      <c r="R130" s="322" t="s">
        <v>474</v>
      </c>
      <c r="S130" s="290"/>
      <c r="T130" s="290"/>
      <c r="U130" s="290"/>
    </row>
    <row r="131" spans="1:21" s="28" customFormat="1" ht="89.1" customHeight="1">
      <c r="A131" s="53" t="s">
        <v>67</v>
      </c>
      <c r="B131" s="289">
        <v>44092</v>
      </c>
      <c r="C131" s="290" t="s">
        <v>896</v>
      </c>
      <c r="D131" s="54"/>
      <c r="E131" s="316" t="s">
        <v>897</v>
      </c>
      <c r="F131" s="317" t="s">
        <v>898</v>
      </c>
      <c r="G131" s="55">
        <v>1280000</v>
      </c>
      <c r="H131" s="318">
        <v>563689.34</v>
      </c>
      <c r="I131" s="55">
        <v>0</v>
      </c>
      <c r="J131" s="55">
        <v>0</v>
      </c>
      <c r="K131" s="319">
        <f t="shared" si="2"/>
        <v>1280000</v>
      </c>
      <c r="L131" s="319">
        <f t="shared" si="21"/>
        <v>0</v>
      </c>
      <c r="M131" s="293"/>
      <c r="N131" s="320">
        <f t="shared" si="1"/>
        <v>0</v>
      </c>
      <c r="O131" s="320">
        <v>0</v>
      </c>
      <c r="P131" s="321" t="s">
        <v>730</v>
      </c>
      <c r="Q131" s="58">
        <v>1</v>
      </c>
      <c r="R131" s="322" t="s">
        <v>474</v>
      </c>
      <c r="S131" s="290"/>
      <c r="T131" s="290"/>
      <c r="U131" s="290"/>
    </row>
    <row r="132" spans="1:21" s="28" customFormat="1" ht="89.1" customHeight="1">
      <c r="A132" s="53" t="s">
        <v>67</v>
      </c>
      <c r="B132" s="289">
        <v>44104</v>
      </c>
      <c r="C132" s="290" t="s">
        <v>899</v>
      </c>
      <c r="D132" s="54"/>
      <c r="E132" s="316" t="s">
        <v>900</v>
      </c>
      <c r="F132" s="317" t="s">
        <v>901</v>
      </c>
      <c r="G132" s="55">
        <v>1260000</v>
      </c>
      <c r="H132" s="318">
        <v>563689.34</v>
      </c>
      <c r="I132" s="55">
        <v>0</v>
      </c>
      <c r="J132" s="55">
        <v>0</v>
      </c>
      <c r="K132" s="319">
        <f t="shared" si="2"/>
        <v>1260000</v>
      </c>
      <c r="L132" s="319">
        <f t="shared" si="21"/>
        <v>0</v>
      </c>
      <c r="M132" s="293"/>
      <c r="N132" s="320">
        <f t="shared" si="1"/>
        <v>0</v>
      </c>
      <c r="O132" s="320">
        <v>0</v>
      </c>
      <c r="P132" s="321" t="s">
        <v>730</v>
      </c>
      <c r="Q132" s="58">
        <v>1</v>
      </c>
      <c r="R132" s="322" t="s">
        <v>474</v>
      </c>
      <c r="S132" s="290"/>
      <c r="T132" s="290"/>
      <c r="U132" s="290"/>
    </row>
    <row r="133" spans="1:21" s="117" customFormat="1" ht="12.75" customHeight="1" thickBot="1">
      <c r="A133" s="415"/>
      <c r="B133" s="415"/>
      <c r="C133" s="415"/>
      <c r="D133" s="415"/>
      <c r="E133" s="415"/>
      <c r="F133" s="415"/>
      <c r="G133" s="255"/>
      <c r="H133" s="256"/>
      <c r="I133" s="257"/>
      <c r="J133" s="199"/>
      <c r="K133" s="258"/>
      <c r="L133" s="259"/>
      <c r="M133" s="260"/>
      <c r="N133" s="200"/>
      <c r="O133" s="200"/>
      <c r="P133" s="261"/>
      <c r="Q133" s="201"/>
      <c r="R133" s="202"/>
      <c r="S133" s="203"/>
      <c r="T133" s="203"/>
      <c r="U133" s="203"/>
    </row>
    <row r="134" spans="1:21" s="117" customFormat="1" ht="48" customHeight="1" thickTop="1" thickBot="1">
      <c r="A134" s="204"/>
      <c r="B134" s="205"/>
      <c r="C134" s="203"/>
      <c r="D134" s="206"/>
      <c r="E134" s="206"/>
      <c r="F134" s="207" t="s">
        <v>31</v>
      </c>
      <c r="G134" s="208">
        <f>SUM(G15:G133)</f>
        <v>221182900.54000011</v>
      </c>
      <c r="H134" s="209">
        <f>SUM(H15:H132)</f>
        <v>27548268.760000002</v>
      </c>
      <c r="I134" s="209">
        <f>SUM(I15:I133)</f>
        <v>36085171.340000004</v>
      </c>
      <c r="J134" s="209">
        <f>SUM(J15:J133)</f>
        <v>0</v>
      </c>
      <c r="K134" s="209">
        <f>SUM(K15:K132)</f>
        <v>185097729.20000002</v>
      </c>
      <c r="L134" s="209">
        <f>SUM(L15:L132)</f>
        <v>4861987.18</v>
      </c>
      <c r="M134" s="200"/>
      <c r="N134" s="200"/>
      <c r="O134" s="210"/>
      <c r="P134" s="211"/>
      <c r="Q134" s="201"/>
      <c r="R134" s="202"/>
      <c r="S134" s="203"/>
      <c r="T134" s="203"/>
      <c r="U134" s="203"/>
    </row>
    <row r="135" spans="1:21" s="323" customFormat="1" ht="24" customHeight="1" thickTop="1">
      <c r="A135" s="204"/>
      <c r="B135" s="205"/>
      <c r="C135" s="203"/>
      <c r="D135" s="206"/>
      <c r="E135" s="206"/>
      <c r="F135" s="216"/>
      <c r="G135" s="217"/>
      <c r="H135" s="218"/>
      <c r="I135" s="218"/>
      <c r="J135" s="218"/>
      <c r="K135" s="218"/>
      <c r="L135" s="218"/>
      <c r="M135" s="200"/>
      <c r="N135" s="200"/>
      <c r="O135" s="210"/>
      <c r="P135" s="211"/>
      <c r="Q135" s="201"/>
      <c r="R135" s="202"/>
      <c r="S135" s="203"/>
      <c r="T135" s="203"/>
      <c r="U135" s="203"/>
    </row>
    <row r="136" spans="1:21" s="117" customFormat="1" ht="18.75" customHeight="1">
      <c r="A136" s="212" t="s">
        <v>298</v>
      </c>
      <c r="I136" s="213"/>
      <c r="J136" s="199"/>
      <c r="P136" s="214"/>
      <c r="Q136" s="215"/>
    </row>
  </sheetData>
  <mergeCells count="14">
    <mergeCell ref="A133:F133"/>
    <mergeCell ref="C3:U3"/>
    <mergeCell ref="C2:U2"/>
    <mergeCell ref="A8:B8"/>
    <mergeCell ref="C8:E8"/>
    <mergeCell ref="A2:B3"/>
    <mergeCell ref="A5:B5"/>
    <mergeCell ref="C5:E5"/>
    <mergeCell ref="A6:B6"/>
    <mergeCell ref="C6:E6"/>
    <mergeCell ref="A7:B7"/>
    <mergeCell ref="C7:E7"/>
    <mergeCell ref="P14:Q14"/>
    <mergeCell ref="S12:U12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RESUMEN</vt:lpstr>
      <vt:lpstr>PDM</vt:lpstr>
      <vt:lpstr>FORTAMUNDF</vt:lpstr>
      <vt:lpstr>FORTASEG</vt:lpstr>
      <vt:lpstr>FISMDF</vt:lpstr>
      <vt:lpstr>FISMDF!Área_de_impresión</vt:lpstr>
      <vt:lpstr>FORTAMUNDF!Área_de_impresión</vt:lpstr>
      <vt:lpstr>FORTASEG!Área_de_impresión</vt:lpstr>
      <vt:lpstr>PDM!Área_de_impresión</vt:lpstr>
      <vt:lpstr>RESUMEN!Área_de_impresión</vt:lpstr>
      <vt:lpstr>FISMDF!Títulos_a_imprimir</vt:lpstr>
      <vt:lpstr>PDM!Títulos_a_imprimir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Lourdes Ortiz Diaz</cp:lastModifiedBy>
  <cp:lastPrinted>2020-10-12T19:28:55Z</cp:lastPrinted>
  <dcterms:created xsi:type="dcterms:W3CDTF">2018-01-26T00:48:08Z</dcterms:created>
  <dcterms:modified xsi:type="dcterms:W3CDTF">2020-10-12T19:29:08Z</dcterms:modified>
</cp:coreProperties>
</file>